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uff\Dropbox\RevenusEtDividendes\Formations\CourtiersGagnants\CourtiersGagnants_Module1\"/>
    </mc:Choice>
  </mc:AlternateContent>
  <xr:revisionPtr revIDLastSave="0" documentId="13_ncr:1_{15957F3D-7A88-44F7-B568-6CC1710938DB}" xr6:coauthVersionLast="46" xr6:coauthVersionMax="46" xr10:uidLastSave="{00000000-0000-0000-0000-000000000000}"/>
  <bookViews>
    <workbookView xWindow="-103" yWindow="-103" windowWidth="19543" windowHeight="12497" xr2:uid="{00000000-000D-0000-FFFF-FFFF00000000}"/>
  </bookViews>
  <sheets>
    <sheet name="Calculateur" sheetId="1" r:id="rId1"/>
    <sheet name="ASavoir" sheetId="2" r:id="rId2"/>
    <sheet name="Places" sheetId="3" state="hidden" r:id="rId3"/>
    <sheet name="BourseDirect" sheetId="4" state="hidden" r:id="rId4"/>
    <sheet name="SaxoBanque" sheetId="5" state="hidden" r:id="rId5"/>
    <sheet name="FortuneoZeroCourtage" sheetId="6" state="hidden" r:id="rId6"/>
    <sheet name="FortuneoOptimum" sheetId="7" state="hidden" r:id="rId7"/>
    <sheet name="BoursoDecouverte" sheetId="8" state="hidden" r:id="rId8"/>
    <sheet name="BoursoTrader" sheetId="9" state="hidden" r:id="rId9"/>
  </sheets>
  <calcPr calcId="191029"/>
</workbook>
</file>

<file path=xl/calcChain.xml><?xml version="1.0" encoding="utf-8"?>
<calcChain xmlns="http://schemas.openxmlformats.org/spreadsheetml/2006/main">
  <c r="B36" i="9" l="1"/>
  <c r="C36" i="9" s="1"/>
  <c r="A36" i="9"/>
  <c r="A32" i="9"/>
  <c r="B32" i="9" s="1"/>
  <c r="C32" i="9" s="1"/>
  <c r="B28" i="9"/>
  <c r="C28" i="9" s="1"/>
  <c r="A28" i="9"/>
  <c r="A24" i="9"/>
  <c r="B24" i="9" s="1"/>
  <c r="C24" i="9" s="1"/>
  <c r="B20" i="9"/>
  <c r="C20" i="9" s="1"/>
  <c r="A20" i="9"/>
  <c r="A16" i="9"/>
  <c r="B16" i="9" s="1"/>
  <c r="C16" i="9" s="1"/>
  <c r="A12" i="9"/>
  <c r="B12" i="9" s="1"/>
  <c r="C12" i="9" s="1"/>
  <c r="B8" i="9"/>
  <c r="B7" i="9"/>
  <c r="B6" i="9"/>
  <c r="B36" i="8"/>
  <c r="C36" i="8" s="1"/>
  <c r="A36" i="8"/>
  <c r="A32" i="8"/>
  <c r="B32" i="8" s="1"/>
  <c r="C32" i="8" s="1"/>
  <c r="A28" i="8"/>
  <c r="B28" i="8" s="1"/>
  <c r="C28" i="8" s="1"/>
  <c r="A24" i="8"/>
  <c r="B24" i="8" s="1"/>
  <c r="C24" i="8" s="1"/>
  <c r="B20" i="8"/>
  <c r="C20" i="8" s="1"/>
  <c r="A20" i="8"/>
  <c r="A16" i="8"/>
  <c r="B16" i="8" s="1"/>
  <c r="C16" i="8" s="1"/>
  <c r="A12" i="8"/>
  <c r="B12" i="8" s="1"/>
  <c r="C12" i="8" s="1"/>
  <c r="B8" i="8"/>
  <c r="B7" i="8"/>
  <c r="B6" i="8"/>
  <c r="F4" i="8"/>
  <c r="A12" i="7"/>
  <c r="B12" i="7" s="1"/>
  <c r="C12" i="7" s="1"/>
  <c r="B8" i="7"/>
  <c r="C8" i="7" s="1"/>
  <c r="B7" i="7"/>
  <c r="C7" i="7" s="1"/>
  <c r="B6" i="7"/>
  <c r="C6" i="7" s="1"/>
  <c r="A9" i="6"/>
  <c r="B9" i="6" s="1"/>
  <c r="C9" i="6" s="1"/>
  <c r="A5" i="6"/>
  <c r="B5" i="6" s="1"/>
  <c r="B41" i="5"/>
  <c r="C41" i="5" s="1"/>
  <c r="A41" i="5"/>
  <c r="A37" i="5"/>
  <c r="B37" i="5" s="1"/>
  <c r="C37" i="5" s="1"/>
  <c r="A33" i="5"/>
  <c r="B33" i="5" s="1"/>
  <c r="C33" i="5" s="1"/>
  <c r="B25" i="5"/>
  <c r="C25" i="5" s="1"/>
  <c r="A25" i="5"/>
  <c r="A21" i="5"/>
  <c r="B21" i="5" s="1"/>
  <c r="C21" i="5" s="1"/>
  <c r="A17" i="5"/>
  <c r="B17" i="5" s="1"/>
  <c r="C17" i="5" s="1"/>
  <c r="B11" i="5"/>
  <c r="C11" i="5" s="1"/>
  <c r="B10" i="5"/>
  <c r="C10" i="5" s="1"/>
  <c r="B9" i="5"/>
  <c r="C9" i="5" s="1"/>
  <c r="B8" i="5"/>
  <c r="C8" i="5" s="1"/>
  <c r="B7" i="5"/>
  <c r="C7" i="5" s="1"/>
  <c r="B42" i="4"/>
  <c r="C42" i="4" s="1"/>
  <c r="A42" i="4"/>
  <c r="A38" i="4"/>
  <c r="B38" i="4" s="1"/>
  <c r="C38" i="4" s="1"/>
  <c r="A34" i="4"/>
  <c r="B34" i="4" s="1"/>
  <c r="C34" i="4" s="1"/>
  <c r="A30" i="4"/>
  <c r="B30" i="4" s="1"/>
  <c r="C30" i="4" s="1"/>
  <c r="B26" i="4"/>
  <c r="C26" i="4" s="1"/>
  <c r="A26" i="4"/>
  <c r="A22" i="4"/>
  <c r="B22" i="4" s="1"/>
  <c r="C22" i="4" s="1"/>
  <c r="A18" i="4"/>
  <c r="B18" i="4" s="1"/>
  <c r="C18" i="4" s="1"/>
  <c r="B14" i="4"/>
  <c r="B13" i="4"/>
  <c r="B12" i="4"/>
  <c r="B11" i="4"/>
  <c r="B10" i="4"/>
  <c r="B9" i="4"/>
  <c r="B5" i="8" l="1"/>
  <c r="C5" i="7"/>
  <c r="B2" i="7" s="1"/>
  <c r="C2" i="7" s="1"/>
  <c r="B5" i="9"/>
  <c r="A29" i="5"/>
  <c r="B29" i="5" s="1"/>
  <c r="C29" i="5" s="1"/>
  <c r="C13" i="5" s="1"/>
  <c r="B2" i="5" s="1"/>
  <c r="C5" i="6"/>
  <c r="B2" i="6"/>
  <c r="E10" i="8"/>
  <c r="E10" i="9"/>
  <c r="E18" i="4"/>
  <c r="B2" i="4" s="1"/>
  <c r="B2" i="8" l="1"/>
  <c r="B10" i="1" s="1"/>
  <c r="B11" i="1" s="1"/>
  <c r="B2" i="9"/>
  <c r="C2" i="9" s="1"/>
  <c r="B8" i="1"/>
  <c r="B9" i="1" s="1"/>
  <c r="B6" i="1"/>
  <c r="B7" i="1" s="1"/>
  <c r="C2" i="4"/>
  <c r="B14" i="1"/>
  <c r="B15" i="1" s="1"/>
  <c r="C2" i="5"/>
  <c r="B12" i="1" l="1"/>
  <c r="B13" i="1" s="1"/>
</calcChain>
</file>

<file path=xl/sharedStrings.xml><?xml version="1.0" encoding="utf-8"?>
<sst xmlns="http://schemas.openxmlformats.org/spreadsheetml/2006/main" count="200" uniqueCount="62">
  <si>
    <t>Données</t>
  </si>
  <si>
    <t>Bourse :</t>
  </si>
  <si>
    <t>Euronext (Paris, Bruxelles, Amstedam)</t>
  </si>
  <si>
    <t>Valeur ordre en € :</t>
  </si>
  <si>
    <t>Montant des frais de courtage</t>
  </si>
  <si>
    <t>Bourse Direct</t>
  </si>
  <si>
    <t>Soit, en % du montant ordre :</t>
  </si>
  <si>
    <t>Fortuneo Optimum</t>
  </si>
  <si>
    <t>Boursorama Découverte</t>
  </si>
  <si>
    <t>Boursorama Trader</t>
  </si>
  <si>
    <t>Saxo Banque</t>
  </si>
  <si>
    <t>Rappel/Précisions concernant ce fichier</t>
  </si>
  <si>
    <t>Date de dernière mise à jour :</t>
  </si>
  <si>
    <t>1) Précisions générales</t>
  </si>
  <si>
    <t>- Cet outil est fourni à titre indicatif.</t>
  </si>
  <si>
    <t>- Les résultats sont fournis à la date de dernière mise à jour et selon les informations fournies par les courtiers.</t>
  </si>
  <si>
    <t>- Je vous invite, dans tous les cas, à vous référer à la brochure tarifaire de chaque courtier.</t>
  </si>
  <si>
    <t>- Les calculs ont été réalisés pour l'investissement dans le seul cadre du PEA (les tarifs et calculs sont différents dans un Compte-Titres).</t>
  </si>
  <si>
    <t>- Les calculs prennent en compte uniquement les frais de courtage et non les éventuels autres frais (droits de garde, facturation minimale, commissions de change, etc...)</t>
  </si>
  <si>
    <t>- De la même manière les différentes taxes à l'achat applicables selon les pays ("TTF" en France, "Duty Stamp" en UK, etc...) ne sont pas prises en compte.</t>
  </si>
  <si>
    <t>- Seules les actions/titres côtés en euros ont été pris en compte dans ce fichier.</t>
  </si>
  <si>
    <t>- Dans le cas de la formule "Fortuneo Zero Courtage", les calculs ont été effectués hors de la franchise de 2-3 transactions/mois.</t>
  </si>
  <si>
    <t>Allemagne</t>
  </si>
  <si>
    <t>Espagne</t>
  </si>
  <si>
    <t>Portugal</t>
  </si>
  <si>
    <t>Irlande</t>
  </si>
  <si>
    <t>Italie</t>
  </si>
  <si>
    <t>Autriche</t>
  </si>
  <si>
    <t>Achat</t>
  </si>
  <si>
    <t>Frais de courtage :</t>
  </si>
  <si>
    <t>Montant Ordre</t>
  </si>
  <si>
    <t>Euronext</t>
  </si>
  <si>
    <t>&lt;198</t>
  </si>
  <si>
    <t>198&lt;X&lt;500</t>
  </si>
  <si>
    <t>500&lt;X&lt;1000</t>
  </si>
  <si>
    <t>1000&lt;X&lt;2000</t>
  </si>
  <si>
    <t>2000&lt;X&lt;4400</t>
  </si>
  <si>
    <t>&gt;4400</t>
  </si>
  <si>
    <t>Francfort</t>
  </si>
  <si>
    <t>Total PEA</t>
  </si>
  <si>
    <t>Courtage</t>
  </si>
  <si>
    <t>Min.</t>
  </si>
  <si>
    <t>PEA</t>
  </si>
  <si>
    <t>Suisse</t>
  </si>
  <si>
    <t>Normal</t>
  </si>
  <si>
    <t>&lt;1000</t>
  </si>
  <si>
    <t>1000&lt;X&lt;5000</t>
  </si>
  <si>
    <t>5000&lt;X&lt;7500</t>
  </si>
  <si>
    <t>7500&lt;X&lt;10000</t>
  </si>
  <si>
    <t>&gt;10000</t>
  </si>
  <si>
    <t>Hors Euronext</t>
  </si>
  <si>
    <t>Achat/Vente</t>
  </si>
  <si>
    <t>&lt;500</t>
  </si>
  <si>
    <t>500&lt;X&lt;2000</t>
  </si>
  <si>
    <t>&gt;2000</t>
  </si>
  <si>
    <t>&lt;398</t>
  </si>
  <si>
    <t>398&lt;X&lt;500</t>
  </si>
  <si>
    <t>&gt;500</t>
  </si>
  <si>
    <t>&lt;3300</t>
  </si>
  <si>
    <t>33300&lt;X&lt;7750</t>
  </si>
  <si>
    <t>- Seules les bourses d'Euronext, de Suisse, du Portugal, de l'Allemagne, de l'Italie, de l'Autriche, de l'Iralnde et de l'Espagne ont été pris en compte.</t>
  </si>
  <si>
    <t>- Si vous souhaitez déverouiller ce fichier, le code de déverouillage est : "dividende" (sans les guillemets)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</si>
</sst>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$]#,##0.00"/>
    <numFmt numFmtId="165" formatCode="#,##0.00\ [$€-1]"/>
  </numFmts>
  <fonts count="19" x14ac:knownFonts="1">
    <font>
      <sz val="10"/>
      <color rgb="FF000000"/>
      <name val="Arial"/>
    </font>
    <font>
      <sz val="12"/>
      <color rgb="FF0000FF"/>
      <name val="Arial"/>
    </font>
    <font>
      <b/>
      <sz val="12"/>
      <color rgb="FF0000FF"/>
      <name val="Arial"/>
    </font>
    <font>
      <b/>
      <sz val="12"/>
      <name val="Arial"/>
    </font>
    <font>
      <b/>
      <sz val="12"/>
      <color rgb="FFFF0000"/>
      <name val="Arial"/>
    </font>
    <font>
      <b/>
      <sz val="12"/>
      <color rgb="FF9900FF"/>
      <name val="Arial"/>
    </font>
    <font>
      <i/>
      <sz val="10"/>
      <name val="Arial"/>
    </font>
    <font>
      <b/>
      <i/>
      <sz val="12"/>
      <color rgb="FFFF0000"/>
      <name val="Arial"/>
    </font>
    <font>
      <b/>
      <sz val="14"/>
      <color rgb="FF0000FF"/>
      <name val="Arial"/>
    </font>
    <font>
      <sz val="10"/>
      <name val="Arial"/>
    </font>
    <font>
      <b/>
      <sz val="12"/>
      <name val="Arial"/>
    </font>
    <font>
      <b/>
      <sz val="12"/>
      <color rgb="FF980000"/>
      <name val="Arial"/>
    </font>
    <font>
      <b/>
      <sz val="12"/>
      <color rgb="FFFF0000"/>
      <name val="Arial"/>
    </font>
    <font>
      <b/>
      <sz val="11"/>
      <name val="Arial"/>
    </font>
    <font>
      <sz val="10"/>
      <name val="Arial"/>
    </font>
    <font>
      <sz val="12"/>
      <name val="Arial"/>
    </font>
    <font>
      <b/>
      <sz val="10"/>
      <color rgb="FFFF0000"/>
      <name val="Arial"/>
    </font>
    <font>
      <b/>
      <sz val="11"/>
      <name val="Arial"/>
      <family val="2"/>
    </font>
    <font>
      <b/>
      <sz val="11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165" fontId="3" fillId="0" borderId="0" xfId="0" applyNumberFormat="1" applyFont="1"/>
    <xf numFmtId="0" fontId="6" fillId="0" borderId="0" xfId="0" applyFont="1" applyAlignment="1">
      <alignment horizontal="right"/>
    </xf>
    <xf numFmtId="10" fontId="7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1" xfId="0" applyFont="1" applyBorder="1" applyAlignment="1"/>
    <xf numFmtId="0" fontId="4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1" xfId="0" applyFont="1" applyBorder="1" applyAlignment="1"/>
    <xf numFmtId="165" fontId="3" fillId="0" borderId="1" xfId="0" applyNumberFormat="1" applyFont="1" applyBorder="1"/>
    <xf numFmtId="10" fontId="6" fillId="0" borderId="1" xfId="0" applyNumberFormat="1" applyFont="1" applyBorder="1"/>
    <xf numFmtId="165" fontId="14" fillId="0" borderId="0" xfId="0" applyNumberFormat="1" applyFont="1"/>
    <xf numFmtId="10" fontId="14" fillId="0" borderId="0" xfId="0" applyNumberFormat="1" applyFont="1"/>
    <xf numFmtId="0" fontId="0" fillId="0" borderId="0" xfId="0" applyFont="1" applyAlignment="1"/>
    <xf numFmtId="0" fontId="17" fillId="0" borderId="0" xfId="0" quotePrefix="1" applyFont="1" applyAlignment="1"/>
    <xf numFmtId="0" fontId="18" fillId="0" borderId="0" xfId="0" quotePrefix="1" applyFont="1" applyAlignment="1"/>
    <xf numFmtId="165" fontId="3" fillId="0" borderId="0" xfId="0" applyNumberFormat="1" applyFont="1" applyAlignment="1" applyProtection="1">
      <protection locked="0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17" fontId="11" fillId="0" borderId="0" xfId="0" quotePrefix="1" applyNumberFormat="1" applyFont="1" applyAlignment="1">
      <alignment horizontal="left"/>
    </xf>
    <xf numFmtId="0" fontId="0" fillId="0" borderId="0" xfId="0" applyFont="1" applyAlignment="1"/>
    <xf numFmtId="0" fontId="12" fillId="0" borderId="0" xfId="0" applyFont="1" applyAlignment="1">
      <alignment wrapText="1"/>
    </xf>
  </cellXfs>
  <cellStyles count="1">
    <cellStyle name="Normal" xfId="0" builtinId="0"/>
  </cellStyles>
  <dxfs count="21"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7">
    <tableStyle name="Calculateur-style" pivot="0" count="3" xr9:uid="{00000000-0011-0000-FFFF-FFFF00000000}">
      <tableStyleElement type="headerRow" dxfId="20"/>
      <tableStyleElement type="firstRowStripe" dxfId="19"/>
      <tableStyleElement type="secondRowStripe" dxfId="18"/>
    </tableStyle>
    <tableStyle name="BourseDirect-style" pivot="0" count="3" xr9:uid="{00000000-0011-0000-FFFF-FFFF01000000}">
      <tableStyleElement type="headerRow" dxfId="17"/>
      <tableStyleElement type="firstRowStripe" dxfId="16"/>
      <tableStyleElement type="secondRowStripe" dxfId="15"/>
    </tableStyle>
    <tableStyle name="SaxoBanque-style" pivot="0" count="3" xr9:uid="{00000000-0011-0000-FFFF-FFFF02000000}">
      <tableStyleElement type="headerRow" dxfId="14"/>
      <tableStyleElement type="firstRowStripe" dxfId="13"/>
      <tableStyleElement type="secondRowStripe" dxfId="12"/>
    </tableStyle>
    <tableStyle name="FortuneoZeroCourtage-style" pivot="0" count="3" xr9:uid="{00000000-0011-0000-FFFF-FFFF03000000}">
      <tableStyleElement type="headerRow" dxfId="11"/>
      <tableStyleElement type="firstRowStripe" dxfId="10"/>
      <tableStyleElement type="secondRowStripe" dxfId="9"/>
    </tableStyle>
    <tableStyle name="FortuneoOptimum-style" pivot="0" count="3" xr9:uid="{00000000-0011-0000-FFFF-FFFF04000000}">
      <tableStyleElement type="headerRow" dxfId="8"/>
      <tableStyleElement type="firstRowStripe" dxfId="7"/>
      <tableStyleElement type="secondRowStripe" dxfId="6"/>
    </tableStyle>
    <tableStyle name="BoursoDecouverte-style" pivot="0" count="3" xr9:uid="{00000000-0011-0000-FFFF-FFFF05000000}">
      <tableStyleElement type="headerRow" dxfId="5"/>
      <tableStyleElement type="firstRowStripe" dxfId="4"/>
      <tableStyleElement type="secondRowStripe" dxfId="3"/>
    </tableStyle>
    <tableStyle name="BoursoTrader-style" pivot="0" count="3" xr9:uid="{00000000-0011-0000-FFFF-FFFF06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B5" headerRowCount="0">
  <tableColumns count="2">
    <tableColumn id="1" xr3:uid="{00000000-0010-0000-0000-000001000000}" name="Column1"/>
    <tableColumn id="2" xr3:uid="{00000000-0010-0000-0000-000002000000}" name="Column2"/>
  </tableColumns>
  <tableStyleInfo name="Calculateur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C2" headerRowCount="0">
  <tableColumns count="3">
    <tableColumn id="1" xr3:uid="{00000000-0010-0000-0100-000001000000}" name="Column1"/>
    <tableColumn id="2" xr3:uid="{00000000-0010-0000-0100-000002000000}" name="Column2"/>
    <tableColumn id="3" xr3:uid="{00000000-0010-0000-0100-000003000000}" name="Column3"/>
  </tableColumns>
  <tableStyleInfo name="BourseDirect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1:C2" headerRowCount="0">
  <tableColumns count="3">
    <tableColumn id="1" xr3:uid="{00000000-0010-0000-0200-000001000000}" name="Column1"/>
    <tableColumn id="2" xr3:uid="{00000000-0010-0000-0200-000002000000}" name="Column2"/>
    <tableColumn id="3" xr3:uid="{00000000-0010-0000-0200-000003000000}" name="Column3"/>
  </tableColumns>
  <tableStyleInfo name="SaxoBanqu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1:B2" headerRowCount="0">
  <tableColumns count="2">
    <tableColumn id="1" xr3:uid="{00000000-0010-0000-0300-000001000000}" name="Column1"/>
    <tableColumn id="2" xr3:uid="{00000000-0010-0000-0300-000002000000}" name="Column2"/>
  </tableColumns>
  <tableStyleInfo name="FortuneoZeroCourtag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1:C2" headerRowCount="0">
  <tableColumns count="3">
    <tableColumn id="1" xr3:uid="{00000000-0010-0000-0400-000001000000}" name="Column1"/>
    <tableColumn id="2" xr3:uid="{00000000-0010-0000-0400-000002000000}" name="Column2"/>
    <tableColumn id="3" xr3:uid="{00000000-0010-0000-0400-000003000000}" name="Column3"/>
  </tableColumns>
  <tableStyleInfo name="FortuneoOptimum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1:B2" headerRowCount="0">
  <tableColumns count="2">
    <tableColumn id="1" xr3:uid="{00000000-0010-0000-0500-000001000000}" name="Column1"/>
    <tableColumn id="2" xr3:uid="{00000000-0010-0000-0500-000002000000}" name="Column2"/>
  </tableColumns>
  <tableStyleInfo name="BoursoDecouvert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1:C2" headerRowCount="0">
  <tableColumns count="3">
    <tableColumn id="1" xr3:uid="{00000000-0010-0000-0600-000001000000}" name="Column1"/>
    <tableColumn id="2" xr3:uid="{00000000-0010-0000-0600-000002000000}" name="Column2"/>
    <tableColumn id="3" xr3:uid="{00000000-0010-0000-0600-000003000000}" name="Column3"/>
  </tableColumns>
  <tableStyleInfo name="BoursoTrader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outlinePr summaryBelow="0" summaryRight="0"/>
  </sheetPr>
  <dimension ref="A1:B15"/>
  <sheetViews>
    <sheetView tabSelected="1" workbookViewId="0">
      <pane ySplit="3" topLeftCell="A4" activePane="bottomLeft" state="frozen"/>
      <selection pane="bottomLeft" activeCell="B2" sqref="B2"/>
    </sheetView>
  </sheetViews>
  <sheetFormatPr baseColWidth="10" defaultColWidth="14.4609375" defaultRowHeight="15.75" customHeight="1" x14ac:dyDescent="0.3"/>
  <cols>
    <col min="1" max="1" width="31.4609375" customWidth="1"/>
    <col min="2" max="2" width="46.53515625" customWidth="1"/>
    <col min="3" max="3" width="20.53515625" customWidth="1"/>
  </cols>
  <sheetData>
    <row r="1" spans="1:2" ht="15.45" x14ac:dyDescent="0.4">
      <c r="A1" s="1"/>
      <c r="B1" s="2" t="s">
        <v>0</v>
      </c>
    </row>
    <row r="2" spans="1:2" ht="15.45" x14ac:dyDescent="0.4">
      <c r="A2" s="3" t="s">
        <v>1</v>
      </c>
      <c r="B2" s="25" t="s">
        <v>2</v>
      </c>
    </row>
    <row r="3" spans="1:2" ht="15.45" x14ac:dyDescent="0.4">
      <c r="A3" s="3" t="s">
        <v>3</v>
      </c>
      <c r="B3" s="25">
        <v>5000</v>
      </c>
    </row>
    <row r="4" spans="1:2" ht="15.45" x14ac:dyDescent="0.4">
      <c r="A4" s="4"/>
    </row>
    <row r="5" spans="1:2" ht="15.45" x14ac:dyDescent="0.4">
      <c r="A5" s="22"/>
      <c r="B5" s="5" t="s">
        <v>4</v>
      </c>
    </row>
    <row r="6" spans="1:2" ht="15.45" x14ac:dyDescent="0.4">
      <c r="A6" s="6" t="s">
        <v>5</v>
      </c>
      <c r="B6" s="7">
        <f>BourseDirect!B2</f>
        <v>4.5</v>
      </c>
    </row>
    <row r="7" spans="1:2" ht="15.75" customHeight="1" x14ac:dyDescent="0.35">
      <c r="A7" s="8" t="s">
        <v>6</v>
      </c>
      <c r="B7" s="9">
        <f>IFERROR(B6/$B$3,"")</f>
        <v>8.9999999999999998E-4</v>
      </c>
    </row>
    <row r="8" spans="1:2" ht="15.45" x14ac:dyDescent="0.4">
      <c r="A8" s="6" t="s">
        <v>7</v>
      </c>
      <c r="B8" s="7">
        <f>FortuneoOptimum!B2</f>
        <v>10</v>
      </c>
    </row>
    <row r="9" spans="1:2" ht="15.75" customHeight="1" x14ac:dyDescent="0.35">
      <c r="A9" s="8" t="s">
        <v>6</v>
      </c>
      <c r="B9" s="9">
        <f>IFERROR(B8/$B$3,"")</f>
        <v>2E-3</v>
      </c>
    </row>
    <row r="10" spans="1:2" ht="15.45" x14ac:dyDescent="0.4">
      <c r="A10" s="6" t="s">
        <v>8</v>
      </c>
      <c r="B10" s="7">
        <f>BoursoDecouverte!B2</f>
        <v>25</v>
      </c>
    </row>
    <row r="11" spans="1:2" ht="15.75" customHeight="1" x14ac:dyDescent="0.35">
      <c r="A11" s="8" t="s">
        <v>6</v>
      </c>
      <c r="B11" s="9">
        <f>IFERROR(B10/$B$3,"")</f>
        <v>5.0000000000000001E-3</v>
      </c>
    </row>
    <row r="12" spans="1:2" ht="15.45" x14ac:dyDescent="0.4">
      <c r="A12" s="6" t="s">
        <v>9</v>
      </c>
      <c r="B12" s="7">
        <f>BoursoTrader!B2</f>
        <v>16.649999999999999</v>
      </c>
    </row>
    <row r="13" spans="1:2" ht="15.75" customHeight="1" x14ac:dyDescent="0.35">
      <c r="A13" s="8" t="s">
        <v>6</v>
      </c>
      <c r="B13" s="9">
        <f>IFERROR(B12/$B$3,"")</f>
        <v>3.3299999999999996E-3</v>
      </c>
    </row>
    <row r="14" spans="1:2" ht="15.45" x14ac:dyDescent="0.4">
      <c r="A14" s="6" t="s">
        <v>10</v>
      </c>
      <c r="B14" s="7">
        <f>SaxoBanque!B2</f>
        <v>5</v>
      </c>
    </row>
    <row r="15" spans="1:2" ht="15.75" customHeight="1" x14ac:dyDescent="0.35">
      <c r="A15" s="8" t="s">
        <v>6</v>
      </c>
      <c r="B15" s="9">
        <f>IFERROR(B14/$B$3,"")</f>
        <v>1E-3</v>
      </c>
    </row>
  </sheetData>
  <sheetProtection algorithmName="SHA-512" hashValue="2RkwhfFI0emKEpTThayuloGAC4601A7G7jGbChRZAk4u+gvgNYqrGXtXjFPQWl6BYY4NxDW+NKNSLkHfp4XsUg==" saltValue="u1/jeQ6YwENVcnkTrYgKVA==" spinCount="100000" sheet="1" objects="1" scenarios="1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hoisissez la Bourse de cotation" xr:uid="{00000000-0002-0000-0000-000000000000}">
          <x14:formula1>
            <xm:f>Places!$A$1:$A$7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outlinePr summaryBelow="0" summaryRight="0"/>
  </sheetPr>
  <dimension ref="A1:G16"/>
  <sheetViews>
    <sheetView workbookViewId="0">
      <selection activeCell="C6" sqref="C6"/>
    </sheetView>
  </sheetViews>
  <sheetFormatPr baseColWidth="10" defaultColWidth="14.4609375" defaultRowHeight="15.75" customHeight="1" x14ac:dyDescent="0.3"/>
  <sheetData>
    <row r="1" spans="1:7" ht="22.75" customHeight="1" x14ac:dyDescent="0.3">
      <c r="A1" s="26" t="s">
        <v>11</v>
      </c>
      <c r="B1" s="27"/>
      <c r="C1" s="27"/>
      <c r="D1" s="27"/>
      <c r="E1" s="27"/>
      <c r="F1" s="27"/>
      <c r="G1" s="27"/>
    </row>
    <row r="2" spans="1:7" ht="15.75" customHeight="1" x14ac:dyDescent="0.3">
      <c r="A2" s="10"/>
      <c r="B2" s="22"/>
      <c r="C2" s="22"/>
      <c r="D2" s="22"/>
      <c r="E2" s="22"/>
      <c r="F2" s="22"/>
      <c r="G2" s="22"/>
    </row>
    <row r="3" spans="1:7" ht="15.45" x14ac:dyDescent="0.4">
      <c r="A3" s="11" t="s">
        <v>12</v>
      </c>
      <c r="B3" s="22"/>
      <c r="C3" s="22"/>
      <c r="D3" s="28">
        <v>44197</v>
      </c>
      <c r="E3" s="29"/>
      <c r="F3" s="22"/>
      <c r="G3" s="22"/>
    </row>
    <row r="4" spans="1:7" ht="15.75" customHeight="1" x14ac:dyDescent="0.3">
      <c r="A4" s="10"/>
      <c r="B4" s="22"/>
      <c r="C4" s="22"/>
      <c r="D4" s="22"/>
      <c r="E4" s="22"/>
      <c r="F4" s="22"/>
      <c r="G4" s="22"/>
    </row>
    <row r="5" spans="1:7" ht="13.3" x14ac:dyDescent="0.4">
      <c r="A5" s="30" t="s">
        <v>13</v>
      </c>
      <c r="B5" s="29"/>
      <c r="C5" s="29"/>
      <c r="D5" s="22"/>
      <c r="E5" s="22"/>
      <c r="F5" s="22"/>
      <c r="G5" s="22"/>
    </row>
    <row r="6" spans="1:7" ht="15.75" customHeight="1" x14ac:dyDescent="0.35">
      <c r="A6" s="12" t="s">
        <v>14</v>
      </c>
      <c r="B6" s="22"/>
      <c r="C6" s="22"/>
      <c r="D6" s="22"/>
      <c r="E6" s="22"/>
      <c r="F6" s="22"/>
      <c r="G6" s="22"/>
    </row>
    <row r="7" spans="1:7" ht="15.75" customHeight="1" x14ac:dyDescent="0.35">
      <c r="A7" s="12" t="s">
        <v>15</v>
      </c>
      <c r="B7" s="22"/>
      <c r="C7" s="22"/>
      <c r="D7" s="22"/>
      <c r="E7" s="22"/>
      <c r="F7" s="22"/>
      <c r="G7" s="22"/>
    </row>
    <row r="8" spans="1:7" ht="15.75" customHeight="1" x14ac:dyDescent="0.35">
      <c r="A8" s="12" t="s">
        <v>16</v>
      </c>
      <c r="B8" s="22"/>
      <c r="C8" s="22"/>
      <c r="D8" s="22"/>
      <c r="E8" s="22"/>
      <c r="F8" s="22"/>
      <c r="G8" s="22"/>
    </row>
    <row r="9" spans="1:7" ht="15.75" customHeight="1" x14ac:dyDescent="0.35">
      <c r="A9" s="12" t="s">
        <v>17</v>
      </c>
      <c r="B9" s="22"/>
      <c r="C9" s="22"/>
      <c r="D9" s="22"/>
      <c r="E9" s="22"/>
      <c r="F9" s="22"/>
      <c r="G9" s="22"/>
    </row>
    <row r="10" spans="1:7" ht="15.75" customHeight="1" x14ac:dyDescent="0.35">
      <c r="A10" s="12" t="s">
        <v>18</v>
      </c>
      <c r="B10" s="22"/>
      <c r="C10" s="22"/>
      <c r="D10" s="22"/>
      <c r="E10" s="22"/>
      <c r="F10" s="22"/>
      <c r="G10" s="22"/>
    </row>
    <row r="11" spans="1:7" ht="15.75" customHeight="1" x14ac:dyDescent="0.35">
      <c r="A11" s="12" t="s">
        <v>19</v>
      </c>
      <c r="B11" s="22"/>
      <c r="C11" s="22"/>
      <c r="D11" s="22"/>
      <c r="E11" s="22"/>
      <c r="F11" s="22"/>
      <c r="G11" s="22"/>
    </row>
    <row r="12" spans="1:7" ht="15.75" customHeight="1" x14ac:dyDescent="0.35">
      <c r="A12" s="12" t="s">
        <v>20</v>
      </c>
      <c r="B12" s="22"/>
      <c r="C12" s="22"/>
      <c r="D12" s="22"/>
      <c r="E12" s="22"/>
      <c r="F12" s="22"/>
      <c r="G12" s="22"/>
    </row>
    <row r="13" spans="1:7" ht="15.75" customHeight="1" x14ac:dyDescent="0.35">
      <c r="A13" s="23" t="s">
        <v>60</v>
      </c>
      <c r="B13" s="22"/>
      <c r="C13" s="22"/>
      <c r="D13" s="22"/>
      <c r="E13" s="22"/>
      <c r="F13" s="22"/>
      <c r="G13" s="22"/>
    </row>
    <row r="14" spans="1:7" ht="15.75" customHeight="1" x14ac:dyDescent="0.35">
      <c r="A14" s="12" t="s">
        <v>21</v>
      </c>
      <c r="B14" s="22"/>
      <c r="C14" s="22"/>
      <c r="D14" s="22"/>
      <c r="E14" s="22"/>
      <c r="F14" s="22"/>
      <c r="G14" s="22"/>
    </row>
    <row r="15" spans="1:7" ht="15.75" customHeight="1" x14ac:dyDescent="0.35">
      <c r="A15" s="24" t="s">
        <v>61</v>
      </c>
      <c r="B15" s="22"/>
      <c r="C15" s="22"/>
      <c r="D15" s="22"/>
      <c r="E15" s="22"/>
      <c r="F15" s="22"/>
      <c r="G15" s="22"/>
    </row>
    <row r="16" spans="1:7" ht="15.75" customHeight="1" x14ac:dyDescent="0.3">
      <c r="A16" s="22"/>
      <c r="B16" s="22"/>
      <c r="C16" s="22"/>
      <c r="D16" s="22"/>
      <c r="E16" s="22"/>
      <c r="F16" s="22"/>
      <c r="G16" s="22"/>
    </row>
  </sheetData>
  <mergeCells count="3">
    <mergeCell ref="A1:G1"/>
    <mergeCell ref="D3:E3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7"/>
  <sheetViews>
    <sheetView workbookViewId="0"/>
  </sheetViews>
  <sheetFormatPr baseColWidth="10" defaultColWidth="14.4609375" defaultRowHeight="15.75" customHeight="1" x14ac:dyDescent="0.3"/>
  <sheetData>
    <row r="1" spans="1:1" ht="15.75" customHeight="1" x14ac:dyDescent="0.3">
      <c r="A1" s="13" t="s">
        <v>2</v>
      </c>
    </row>
    <row r="2" spans="1:1" ht="15.75" customHeight="1" x14ac:dyDescent="0.3">
      <c r="A2" s="13" t="s">
        <v>22</v>
      </c>
    </row>
    <row r="3" spans="1:1" ht="15.75" customHeight="1" x14ac:dyDescent="0.3">
      <c r="A3" s="13" t="s">
        <v>23</v>
      </c>
    </row>
    <row r="4" spans="1:1" ht="15.75" customHeight="1" x14ac:dyDescent="0.3">
      <c r="A4" s="13" t="s">
        <v>24</v>
      </c>
    </row>
    <row r="5" spans="1:1" ht="15.75" customHeight="1" x14ac:dyDescent="0.3">
      <c r="A5" s="13" t="s">
        <v>25</v>
      </c>
    </row>
    <row r="6" spans="1:1" ht="15.75" customHeight="1" x14ac:dyDescent="0.3">
      <c r="A6" s="13" t="s">
        <v>26</v>
      </c>
    </row>
    <row r="7" spans="1:1" ht="15.75" customHeight="1" x14ac:dyDescent="0.3">
      <c r="A7" s="13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U42"/>
  <sheetViews>
    <sheetView workbookViewId="0"/>
  </sheetViews>
  <sheetFormatPr baseColWidth="10" defaultColWidth="14.4609375" defaultRowHeight="15.75" customHeight="1" x14ac:dyDescent="0.3"/>
  <cols>
    <col min="1" max="1" width="30.4609375" customWidth="1"/>
    <col min="2" max="2" width="14.4609375" customWidth="1"/>
    <col min="3" max="3" width="8.4609375" customWidth="1"/>
  </cols>
  <sheetData>
    <row r="1" spans="1:21" ht="15.45" x14ac:dyDescent="0.4">
      <c r="A1" s="14"/>
      <c r="B1" s="15" t="s">
        <v>28</v>
      </c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.45" x14ac:dyDescent="0.4">
      <c r="A2" s="17" t="s">
        <v>29</v>
      </c>
      <c r="B2" s="18">
        <f>IF(Calculateur!$B$2="Euronext (Paris, Bruxelles, Amstedam)",SUM(B9:B14),E18)</f>
        <v>4.5</v>
      </c>
      <c r="C2" s="19" t="e">
        <f>B2/#REF!</f>
        <v>#REF!</v>
      </c>
    </row>
    <row r="5" spans="1:21" ht="15.75" customHeight="1" x14ac:dyDescent="0.3">
      <c r="B5" s="13">
        <v>1000</v>
      </c>
    </row>
    <row r="7" spans="1:21" ht="15.75" customHeight="1" x14ac:dyDescent="0.3">
      <c r="A7" s="13" t="s">
        <v>30</v>
      </c>
      <c r="B7" s="13" t="s">
        <v>31</v>
      </c>
    </row>
    <row r="8" spans="1:21" ht="15.75" customHeight="1" x14ac:dyDescent="0.3">
      <c r="A8" s="13"/>
    </row>
    <row r="9" spans="1:21" ht="15.75" customHeight="1" x14ac:dyDescent="0.3">
      <c r="A9" s="13" t="s">
        <v>32</v>
      </c>
      <c r="B9">
        <f>IF(Calculateur!$B$3&lt;=198,Calculateur!$B$3*0.5/100,0)</f>
        <v>0</v>
      </c>
    </row>
    <row r="10" spans="1:21" ht="15.75" customHeight="1" x14ac:dyDescent="0.3">
      <c r="A10" s="13" t="s">
        <v>33</v>
      </c>
      <c r="B10">
        <f>IF(Calculateur!$B$3&lt;=198,0,IF(Calculateur!$B$3&lt;=500,0.99,0))</f>
        <v>0</v>
      </c>
    </row>
    <row r="11" spans="1:21" ht="15.75" customHeight="1" x14ac:dyDescent="0.3">
      <c r="A11" s="13" t="s">
        <v>34</v>
      </c>
      <c r="B11">
        <f>IF(Calculateur!$B$3&lt;=500,0,IF(Calculateur!$B$3&lt;=1000,1.9,0))</f>
        <v>0</v>
      </c>
    </row>
    <row r="12" spans="1:21" ht="15.75" customHeight="1" x14ac:dyDescent="0.3">
      <c r="A12" s="13" t="s">
        <v>35</v>
      </c>
      <c r="B12">
        <f>IF(Calculateur!$B$3&lt;=1000,0,IF(Calculateur!$B$3&lt;=2000,2.9,0))</f>
        <v>0</v>
      </c>
    </row>
    <row r="13" spans="1:21" ht="15.75" customHeight="1" x14ac:dyDescent="0.3">
      <c r="A13" s="13" t="s">
        <v>36</v>
      </c>
      <c r="B13">
        <f>IF(Calculateur!$B$3&lt;=2000,0,IF(Calculateur!$B$3&lt;=4400,3.8,0))</f>
        <v>0</v>
      </c>
    </row>
    <row r="14" spans="1:21" ht="15.75" customHeight="1" x14ac:dyDescent="0.3">
      <c r="A14" s="13" t="s">
        <v>37</v>
      </c>
      <c r="B14" s="20">
        <f>IF(Calculateur!$B$3&lt;=4400,0,Calculateur!$B$3*0.09/100)</f>
        <v>4.5</v>
      </c>
    </row>
    <row r="16" spans="1:21" ht="15.75" customHeight="1" x14ac:dyDescent="0.3">
      <c r="A16" s="13" t="s">
        <v>38</v>
      </c>
      <c r="E16" s="13" t="s">
        <v>39</v>
      </c>
    </row>
    <row r="17" spans="1:5" ht="15.75" customHeight="1" x14ac:dyDescent="0.3">
      <c r="A17" s="13" t="s">
        <v>40</v>
      </c>
      <c r="B17" s="13" t="s">
        <v>41</v>
      </c>
      <c r="C17" s="13" t="s">
        <v>42</v>
      </c>
    </row>
    <row r="18" spans="1:5" ht="15.75" customHeight="1" x14ac:dyDescent="0.3">
      <c r="A18">
        <f>IF(Calculateur!$B$2="Allemagne",Calculateur!$B$3*0.15/100,0)</f>
        <v>0</v>
      </c>
      <c r="B18">
        <f>IF(Calculateur!$B$2&lt;&gt;"Allemagne",0,IF(A18&lt;15,15,A18))</f>
        <v>0</v>
      </c>
      <c r="C18">
        <f>IF(B18/Calculateur!$B$3&gt;0.005,Calculateur!$B$3*0.5/100,B18)</f>
        <v>0</v>
      </c>
      <c r="D18" s="21"/>
      <c r="E18">
        <f>C18+C22+C26+C30+C34+C38+C42</f>
        <v>0</v>
      </c>
    </row>
    <row r="20" spans="1:5" ht="15.75" customHeight="1" x14ac:dyDescent="0.3">
      <c r="A20" s="13" t="s">
        <v>23</v>
      </c>
    </row>
    <row r="21" spans="1:5" ht="15.75" customHeight="1" x14ac:dyDescent="0.3">
      <c r="A21" s="13" t="s">
        <v>40</v>
      </c>
      <c r="B21" s="13" t="s">
        <v>41</v>
      </c>
      <c r="C21" s="13" t="s">
        <v>42</v>
      </c>
    </row>
    <row r="22" spans="1:5" ht="15.75" customHeight="1" x14ac:dyDescent="0.3">
      <c r="A22">
        <f>IF(Calculateur!$B$2="Espagne",Calculateur!$B$3*0.2/100,0)</f>
        <v>0</v>
      </c>
      <c r="B22">
        <f>IF(Calculateur!$B$2&lt;&gt;"Espagne",0,IF(A22&lt;18,18,A22))</f>
        <v>0</v>
      </c>
      <c r="C22">
        <f>IF(B22/Calculateur!$B$3&gt;0.005,Calculateur!$B$3*0.5/100,B22)</f>
        <v>0</v>
      </c>
    </row>
    <row r="24" spans="1:5" ht="15.75" customHeight="1" x14ac:dyDescent="0.3">
      <c r="A24" s="13" t="s">
        <v>43</v>
      </c>
    </row>
    <row r="25" spans="1:5" ht="15.75" customHeight="1" x14ac:dyDescent="0.3">
      <c r="A25" s="13" t="s">
        <v>40</v>
      </c>
      <c r="B25" s="13" t="s">
        <v>41</v>
      </c>
      <c r="C25" s="13" t="s">
        <v>42</v>
      </c>
    </row>
    <row r="26" spans="1:5" ht="12.45" x14ac:dyDescent="0.3">
      <c r="A26">
        <f>IF(Calculateur!$B$2="Suisse",Calculateur!$B$3*0.2/100,0)</f>
        <v>0</v>
      </c>
      <c r="B26">
        <f>IF(Calculateur!$B$2&lt;&gt;"Suisse",0,IF(A26&lt;18,18,A26))</f>
        <v>0</v>
      </c>
      <c r="C26">
        <f>IF(B26/Calculateur!$B$3&gt;0.005,Calculateur!$B$3*0.5/100,B26)</f>
        <v>0</v>
      </c>
    </row>
    <row r="28" spans="1:5" ht="12.45" x14ac:dyDescent="0.3">
      <c r="A28" s="13" t="s">
        <v>24</v>
      </c>
    </row>
    <row r="29" spans="1:5" ht="12.45" x14ac:dyDescent="0.3">
      <c r="A29" s="13" t="s">
        <v>40</v>
      </c>
      <c r="B29" s="13" t="s">
        <v>41</v>
      </c>
      <c r="C29" s="13" t="s">
        <v>42</v>
      </c>
    </row>
    <row r="30" spans="1:5" ht="12.45" x14ac:dyDescent="0.3">
      <c r="A30">
        <f>IF(Calculateur!$B$2="Portugal",Calculateur!$B$3*0.2/100,0)</f>
        <v>0</v>
      </c>
      <c r="B30">
        <f>IF(Calculateur!$B$2&lt;&gt;"Portugal",0,IF(A30&lt;18,18,A30))</f>
        <v>0</v>
      </c>
      <c r="C30">
        <f>IF(B30/Calculateur!$B$3&gt;0.005,Calculateur!$B$3*0.5/100,B30)</f>
        <v>0</v>
      </c>
    </row>
    <row r="32" spans="1:5" ht="12.45" x14ac:dyDescent="0.3">
      <c r="A32" s="13" t="s">
        <v>26</v>
      </c>
    </row>
    <row r="33" spans="1:3" ht="12.45" x14ac:dyDescent="0.3">
      <c r="A33" s="13" t="s">
        <v>40</v>
      </c>
      <c r="B33" s="13" t="s">
        <v>41</v>
      </c>
      <c r="C33" s="13" t="s">
        <v>42</v>
      </c>
    </row>
    <row r="34" spans="1:3" ht="12.45" x14ac:dyDescent="0.3">
      <c r="A34">
        <f>IF(Calculateur!$B$2="Italie",Calculateur!$B$3*0.48/100,0)</f>
        <v>0</v>
      </c>
      <c r="B34">
        <f>IF(Calculateur!$B$2&lt;&gt;"Italie",0,IF(A34&lt;41.9,41.9,A34))</f>
        <v>0</v>
      </c>
      <c r="C34">
        <f>IF(B34/Calculateur!$B$3&gt;0.005,Calculateur!$B$3*0.5/100,B34)</f>
        <v>0</v>
      </c>
    </row>
    <row r="36" spans="1:3" ht="12.45" x14ac:dyDescent="0.3">
      <c r="A36" s="13" t="s">
        <v>25</v>
      </c>
    </row>
    <row r="37" spans="1:3" ht="12.45" x14ac:dyDescent="0.3">
      <c r="A37" s="13" t="s">
        <v>40</v>
      </c>
      <c r="B37" s="13" t="s">
        <v>41</v>
      </c>
      <c r="C37" s="13" t="s">
        <v>42</v>
      </c>
    </row>
    <row r="38" spans="1:3" ht="12.45" x14ac:dyDescent="0.3">
      <c r="A38">
        <f>IF(Calculateur!$B$2="Irlande",Calculateur!$B$3*0.48/100,0)</f>
        <v>0</v>
      </c>
      <c r="B38">
        <f>IF(Calculateur!$B$2&lt;&gt;"Irlande",0,IF(A38&lt;41.9,41.9,A38))</f>
        <v>0</v>
      </c>
      <c r="C38">
        <f>IF(B38/Calculateur!$B$3&gt;0.005,Calculateur!$B$3*0.5/100,B38)</f>
        <v>0</v>
      </c>
    </row>
    <row r="40" spans="1:3" ht="12.45" x14ac:dyDescent="0.3">
      <c r="A40" s="13" t="s">
        <v>27</v>
      </c>
    </row>
    <row r="41" spans="1:3" ht="12.45" x14ac:dyDescent="0.3">
      <c r="A41" s="13" t="s">
        <v>40</v>
      </c>
      <c r="B41" s="13" t="s">
        <v>41</v>
      </c>
      <c r="C41" s="13" t="s">
        <v>42</v>
      </c>
    </row>
    <row r="42" spans="1:3" ht="12.45" x14ac:dyDescent="0.3">
      <c r="A42">
        <f>IF(Calculateur!$B$2="Autriche",Calculateur!$B$3*0.48/100,0)</f>
        <v>0</v>
      </c>
      <c r="B42">
        <f>IF(Calculateur!$B$2&lt;&gt;"Autriche",0,IF(A42&lt;41.9,41.9,A42))</f>
        <v>0</v>
      </c>
      <c r="C42">
        <f>IF(B42/Calculateur!$B$3&gt;0.005,Calculateur!$B$3*0.5/100,B42)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U41"/>
  <sheetViews>
    <sheetView workbookViewId="0"/>
  </sheetViews>
  <sheetFormatPr baseColWidth="10" defaultColWidth="14.4609375" defaultRowHeight="15.75" customHeight="1" x14ac:dyDescent="0.3"/>
  <cols>
    <col min="1" max="1" width="28.15234375" customWidth="1"/>
    <col min="2" max="2" width="14.4609375" customWidth="1"/>
    <col min="3" max="3" width="8.4609375" customWidth="1"/>
  </cols>
  <sheetData>
    <row r="1" spans="1:21" ht="15.45" x14ac:dyDescent="0.4">
      <c r="A1" s="14"/>
      <c r="B1" s="15" t="s">
        <v>28</v>
      </c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.45" x14ac:dyDescent="0.4">
      <c r="A2" s="17" t="s">
        <v>29</v>
      </c>
      <c r="B2" s="18">
        <f>IF(Calculateur!$B$2="Euronext (Paris, Bruxelles, Amstedam)",SUM(C7:C11),C13)</f>
        <v>5</v>
      </c>
      <c r="C2" s="19" t="e">
        <f>B2/#REF!</f>
        <v>#REF!</v>
      </c>
    </row>
    <row r="5" spans="1:21" ht="15.75" customHeight="1" x14ac:dyDescent="0.3">
      <c r="A5" s="13" t="s">
        <v>31</v>
      </c>
    </row>
    <row r="6" spans="1:21" ht="15.75" customHeight="1" x14ac:dyDescent="0.3">
      <c r="A6" s="13" t="s">
        <v>30</v>
      </c>
      <c r="B6" s="13" t="s">
        <v>44</v>
      </c>
      <c r="C6" s="13" t="s">
        <v>42</v>
      </c>
    </row>
    <row r="7" spans="1:21" ht="15.75" customHeight="1" x14ac:dyDescent="0.3">
      <c r="A7" s="13" t="s">
        <v>45</v>
      </c>
      <c r="B7">
        <f>IF(Calculateur!$B$3&lt;=1000,2.5,0)</f>
        <v>0</v>
      </c>
      <c r="C7">
        <f>IF((B7/Calculateur!$B$3)&gt;0.005,Calculateur!$B$3*0.5/100,B7)</f>
        <v>0</v>
      </c>
    </row>
    <row r="8" spans="1:21" ht="15.75" customHeight="1" x14ac:dyDescent="0.3">
      <c r="A8" s="13" t="s">
        <v>46</v>
      </c>
      <c r="B8">
        <f>IF(Calculateur!$B$3&lt;=1000,0,IF(Calculateur!$B$3&lt;=5000,5,0))</f>
        <v>5</v>
      </c>
      <c r="C8">
        <f>IF((B8/Calculateur!$B$3)&gt;0.005,Calculateur!$B$3*0.5/100,B8)</f>
        <v>5</v>
      </c>
    </row>
    <row r="9" spans="1:21" ht="15.75" customHeight="1" x14ac:dyDescent="0.3">
      <c r="A9" s="13" t="s">
        <v>47</v>
      </c>
      <c r="B9">
        <f>IF(Calculateur!$B$3&lt;=5000,0,IF(Calculateur!$B$3&lt;=7500,7.5,0))</f>
        <v>0</v>
      </c>
      <c r="C9">
        <f>IF((B9/Calculateur!$B$3)&gt;0.005,Calculateur!$B$3*0.5/100,B9)</f>
        <v>0</v>
      </c>
    </row>
    <row r="10" spans="1:21" ht="15.75" customHeight="1" x14ac:dyDescent="0.3">
      <c r="A10" s="13" t="s">
        <v>48</v>
      </c>
      <c r="B10">
        <f>IF(Calculateur!$B$3&lt;=7500,0,IF(Calculateur!$B$3&lt;=10000,10,0))</f>
        <v>0</v>
      </c>
      <c r="C10">
        <f>IF((B10/Calculateur!$B$3)&gt;0.005,Calculateur!$B$3*0.5/100,B10)</f>
        <v>0</v>
      </c>
    </row>
    <row r="11" spans="1:21" ht="15.75" customHeight="1" x14ac:dyDescent="0.3">
      <c r="A11" s="13" t="s">
        <v>49</v>
      </c>
      <c r="B11">
        <f>IF(Calculateur!$B$3&lt;=10000,0,Calculateur!$B$3*0.1/100)</f>
        <v>0</v>
      </c>
      <c r="C11">
        <f>IF((B11/Calculateur!$B$3)&gt;0.005,Calculateur!$B$3*0.5/100,B11)</f>
        <v>0</v>
      </c>
    </row>
    <row r="13" spans="1:21" ht="15.75" customHeight="1" x14ac:dyDescent="0.3">
      <c r="A13" s="13" t="s">
        <v>50</v>
      </c>
      <c r="C13" s="13">
        <f>C17+C21+C25+C29+C33+C37+C41</f>
        <v>0</v>
      </c>
    </row>
    <row r="15" spans="1:21" ht="15.75" customHeight="1" x14ac:dyDescent="0.3">
      <c r="A15" s="13" t="s">
        <v>38</v>
      </c>
    </row>
    <row r="16" spans="1:21" ht="15.75" customHeight="1" x14ac:dyDescent="0.3">
      <c r="A16" s="13" t="s">
        <v>40</v>
      </c>
      <c r="B16" s="13" t="s">
        <v>41</v>
      </c>
      <c r="C16" s="13" t="s">
        <v>42</v>
      </c>
    </row>
    <row r="17" spans="1:3" ht="15.75" customHeight="1" x14ac:dyDescent="0.3">
      <c r="A17">
        <f>IF(Calculateur!$B$2="Allemagne",Calculateur!$B$3*0.12/100,0)</f>
        <v>0</v>
      </c>
      <c r="B17">
        <f>IF(Calculateur!$B$2&lt;&gt;"Allemagne",0,IF(A17&lt;12,12,A17))</f>
        <v>0</v>
      </c>
      <c r="C17">
        <f>IF(B17/Calculateur!$B$3&gt;0.005,Calculateur!$B$3*0.5/100,B17)</f>
        <v>0</v>
      </c>
    </row>
    <row r="19" spans="1:3" ht="15.75" customHeight="1" x14ac:dyDescent="0.3">
      <c r="A19" s="13" t="s">
        <v>23</v>
      </c>
    </row>
    <row r="20" spans="1:3" ht="15.75" customHeight="1" x14ac:dyDescent="0.3">
      <c r="A20" s="13" t="s">
        <v>40</v>
      </c>
      <c r="B20" s="13" t="s">
        <v>41</v>
      </c>
      <c r="C20" s="13" t="s">
        <v>42</v>
      </c>
    </row>
    <row r="21" spans="1:3" ht="15.75" customHeight="1" x14ac:dyDescent="0.3">
      <c r="A21">
        <f>IF(Calculateur!$B$2="Espagne",Calculateur!$B$3*0.12/100,0)</f>
        <v>0</v>
      </c>
      <c r="B21">
        <f>IF(Calculateur!$B$2&lt;&gt;"Espagne",0,IF(A21&lt;12,12,A21))</f>
        <v>0</v>
      </c>
      <c r="C21">
        <f>IF(B21/Calculateur!$B$3&gt;0.005,Calculateur!$B$3*0.5/100,B21)</f>
        <v>0</v>
      </c>
    </row>
    <row r="23" spans="1:3" ht="15.75" customHeight="1" x14ac:dyDescent="0.3">
      <c r="A23" s="13" t="s">
        <v>43</v>
      </c>
    </row>
    <row r="24" spans="1:3" ht="15.75" customHeight="1" x14ac:dyDescent="0.3">
      <c r="A24" s="13" t="s">
        <v>40</v>
      </c>
      <c r="B24" s="13" t="s">
        <v>41</v>
      </c>
      <c r="C24" s="13" t="s">
        <v>42</v>
      </c>
    </row>
    <row r="25" spans="1:3" ht="15.75" customHeight="1" x14ac:dyDescent="0.3">
      <c r="A25">
        <f>IF(Calculateur!$B$2="Suisse",Calculateur!$B$3*0.2/100,0)</f>
        <v>0</v>
      </c>
      <c r="B25">
        <f>IF(Calculateur!$B$2&lt;&gt;"Suisse",0,IF(A25&lt;18,18,A25))</f>
        <v>0</v>
      </c>
      <c r="C25">
        <f>IF(B25/Calculateur!$B$3&gt;0.005,Calculateur!$B$3*0.5/100,B25)</f>
        <v>0</v>
      </c>
    </row>
    <row r="27" spans="1:3" ht="12.45" x14ac:dyDescent="0.3">
      <c r="A27" s="13" t="s">
        <v>24</v>
      </c>
    </row>
    <row r="28" spans="1:3" ht="12.45" x14ac:dyDescent="0.3">
      <c r="A28" s="13" t="s">
        <v>40</v>
      </c>
      <c r="B28" s="13" t="s">
        <v>41</v>
      </c>
      <c r="C28" s="13" t="s">
        <v>42</v>
      </c>
    </row>
    <row r="29" spans="1:3" ht="12.45" x14ac:dyDescent="0.3">
      <c r="A29">
        <f>IF(Calculateur!$B$2="Portugal",SUM(B7:B11),0)</f>
        <v>0</v>
      </c>
      <c r="B29">
        <f>A29</f>
        <v>0</v>
      </c>
      <c r="C29">
        <f>IF(B29/Calculateur!$B$3&gt;0.005,Calculateur!$B$3*0.5/100,B29)</f>
        <v>0</v>
      </c>
    </row>
    <row r="31" spans="1:3" ht="12.45" x14ac:dyDescent="0.3">
      <c r="A31" s="13" t="s">
        <v>26</v>
      </c>
    </row>
    <row r="32" spans="1:3" ht="12.45" x14ac:dyDescent="0.3">
      <c r="A32" s="13" t="s">
        <v>40</v>
      </c>
      <c r="B32" s="13" t="s">
        <v>41</v>
      </c>
      <c r="C32" s="13" t="s">
        <v>42</v>
      </c>
    </row>
    <row r="33" spans="1:3" ht="12.45" x14ac:dyDescent="0.3">
      <c r="A33">
        <f>IF(Calculateur!$B$2="Italie",Calculateur!$B$3*0.12/100,0)</f>
        <v>0</v>
      </c>
      <c r="B33">
        <f>IF(Calculateur!$B$2&lt;&gt;"Italie",0,IF(A33&lt;12,12,A33))</f>
        <v>0</v>
      </c>
      <c r="C33">
        <f>IF(B33/Calculateur!$B$3&gt;0.005,Calculateur!$B$3*0.5/100,B33)</f>
        <v>0</v>
      </c>
    </row>
    <row r="35" spans="1:3" ht="12.45" x14ac:dyDescent="0.3">
      <c r="A35" s="13" t="s">
        <v>25</v>
      </c>
    </row>
    <row r="36" spans="1:3" ht="12.45" x14ac:dyDescent="0.3">
      <c r="A36" s="13" t="s">
        <v>40</v>
      </c>
      <c r="B36" s="13" t="s">
        <v>41</v>
      </c>
      <c r="C36" s="13" t="s">
        <v>42</v>
      </c>
    </row>
    <row r="37" spans="1:3" ht="12.45" x14ac:dyDescent="0.3">
      <c r="A37">
        <f>IF(Calculateur!$B$2="Irlande",Calculateur!$B$3*0.12/100,0)</f>
        <v>0</v>
      </c>
      <c r="B37">
        <f>IF(Calculateur!$B$2&lt;&gt;"Irlande",0,IF(A37&lt;12,12,A37))</f>
        <v>0</v>
      </c>
      <c r="C37">
        <f>IF(B37/Calculateur!$B$3&gt;0.005,Calculateur!$B$3*0.5/100,B37)</f>
        <v>0</v>
      </c>
    </row>
    <row r="39" spans="1:3" ht="12.45" x14ac:dyDescent="0.3">
      <c r="A39" s="13" t="s">
        <v>27</v>
      </c>
    </row>
    <row r="40" spans="1:3" ht="12.45" x14ac:dyDescent="0.3">
      <c r="A40" s="13" t="s">
        <v>40</v>
      </c>
      <c r="B40" s="13" t="s">
        <v>41</v>
      </c>
      <c r="C40" s="13" t="s">
        <v>42</v>
      </c>
    </row>
    <row r="41" spans="1:3" ht="12.45" x14ac:dyDescent="0.3">
      <c r="A41">
        <f>IF(Calculateur!$B$2="Autriche",Calculateur!$B$3*0.12/100,0)</f>
        <v>0</v>
      </c>
      <c r="B41">
        <f>IF(Calculateur!$B$2&lt;&gt;"Autriche",0,IF(A41&lt;12,12,A41))</f>
        <v>0</v>
      </c>
      <c r="C41">
        <f>IF(B41/Calculateur!$B$3&gt;0.005,Calculateur!$B$3*0.5/100,B41)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C9"/>
  <sheetViews>
    <sheetView workbookViewId="0"/>
  </sheetViews>
  <sheetFormatPr baseColWidth="10" defaultColWidth="14.4609375" defaultRowHeight="15.75" customHeight="1" x14ac:dyDescent="0.3"/>
  <cols>
    <col min="1" max="1" width="28.15234375" customWidth="1"/>
    <col min="2" max="2" width="15.3046875" customWidth="1"/>
  </cols>
  <sheetData>
    <row r="1" spans="1:3" ht="15.45" x14ac:dyDescent="0.4">
      <c r="A1" s="14"/>
      <c r="B1" s="15" t="s">
        <v>51</v>
      </c>
    </row>
    <row r="2" spans="1:3" ht="15.45" x14ac:dyDescent="0.4">
      <c r="A2" s="17" t="s">
        <v>29</v>
      </c>
      <c r="B2" s="18">
        <f>IF(Calculateur!$B$2="Euronext (Paris, Bruxelles, Amstedam)",B5,IF(Calculateur!$B$2="Allemagne",C9,"Non Disponible"))</f>
        <v>20</v>
      </c>
    </row>
    <row r="4" spans="1:3" ht="15.75" customHeight="1" x14ac:dyDescent="0.3">
      <c r="A4" s="13" t="s">
        <v>44</v>
      </c>
      <c r="B4" s="13" t="s">
        <v>42</v>
      </c>
    </row>
    <row r="5" spans="1:3" ht="15.75" customHeight="1" x14ac:dyDescent="0.3">
      <c r="A5">
        <f>IF(Calculateur!$B$3&lt;=10000,20,Calculateur!$B$3*0.2/100)</f>
        <v>20</v>
      </c>
      <c r="B5">
        <f>IF((A5/Calculateur!$B$3)&gt;0.005,Calculateur!$B$3*0.5/100,A5)</f>
        <v>20</v>
      </c>
      <c r="C5" s="21">
        <f>A5/Calculateur!B3</f>
        <v>4.0000000000000001E-3</v>
      </c>
    </row>
    <row r="7" spans="1:3" ht="15.75" customHeight="1" x14ac:dyDescent="0.3">
      <c r="A7" s="13" t="s">
        <v>38</v>
      </c>
    </row>
    <row r="8" spans="1:3" ht="15.75" customHeight="1" x14ac:dyDescent="0.3">
      <c r="A8" s="13" t="s">
        <v>40</v>
      </c>
      <c r="B8" s="13" t="s">
        <v>41</v>
      </c>
      <c r="C8" s="13" t="s">
        <v>42</v>
      </c>
    </row>
    <row r="9" spans="1:3" ht="15.75" customHeight="1" x14ac:dyDescent="0.3">
      <c r="A9">
        <f>IF(Calculateur!$B$2="Allemagne",Calculateur!$B$3*0.2/100,0)</f>
        <v>0</v>
      </c>
      <c r="B9">
        <f>IF(Calculateur!$B$2&lt;&gt;"Allemagne",0,IF(A9&lt;20,50,A9+30))</f>
        <v>0</v>
      </c>
      <c r="C9">
        <f>IF(B9/Calculateur!$B$3&gt;0.005,Calculateur!$B$3*0.5/100,B9)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12"/>
  <sheetViews>
    <sheetView workbookViewId="0"/>
  </sheetViews>
  <sheetFormatPr baseColWidth="10" defaultColWidth="14.4609375" defaultRowHeight="15.75" customHeight="1" x14ac:dyDescent="0.3"/>
  <cols>
    <col min="1" max="1" width="28.15234375" customWidth="1"/>
    <col min="2" max="2" width="15.3046875" customWidth="1"/>
    <col min="3" max="3" width="8.4609375" customWidth="1"/>
  </cols>
  <sheetData>
    <row r="1" spans="1:3" ht="15.45" x14ac:dyDescent="0.4">
      <c r="A1" s="14"/>
      <c r="B1" s="15" t="s">
        <v>28</v>
      </c>
      <c r="C1" s="15"/>
    </row>
    <row r="2" spans="1:3" ht="15.45" x14ac:dyDescent="0.4">
      <c r="A2" s="17" t="s">
        <v>29</v>
      </c>
      <c r="B2" s="18">
        <f>IF(Calculateur!$B$2="Euronext (Paris, Bruxelles, Amstedam)",C5,IF(Calculateur!$B$2="Allemagne",C12,"Non Disponible"))</f>
        <v>10</v>
      </c>
      <c r="C2" s="19" t="e">
        <f>B2/#REF!</f>
        <v>#REF!</v>
      </c>
    </row>
    <row r="5" spans="1:3" ht="15.75" customHeight="1" x14ac:dyDescent="0.3">
      <c r="A5" s="13" t="s">
        <v>30</v>
      </c>
      <c r="C5">
        <f>SUM(C6:C8)</f>
        <v>10</v>
      </c>
    </row>
    <row r="6" spans="1:3" ht="15.75" customHeight="1" x14ac:dyDescent="0.3">
      <c r="A6" s="13" t="s">
        <v>52</v>
      </c>
      <c r="B6">
        <f>IF(Calculateur!$B$3&lt;=500,1.95,0)</f>
        <v>0</v>
      </c>
      <c r="C6">
        <f>IF((B6/Calculateur!$B$3)&gt;0.005,Calculateur!$B$3*0.5/100,B6)</f>
        <v>0</v>
      </c>
    </row>
    <row r="7" spans="1:3" ht="15.75" customHeight="1" x14ac:dyDescent="0.3">
      <c r="A7" s="13" t="s">
        <v>53</v>
      </c>
      <c r="B7">
        <f>IF(Calculateur!$B$3&lt;=500,0,IF(Calculateur!$B$3&lt;=2000,3.9,0))</f>
        <v>0</v>
      </c>
      <c r="C7">
        <f>IF((B7/Calculateur!$B$3)&gt;0.005,Calculateur!$B$3*0.5/100,B7)</f>
        <v>0</v>
      </c>
    </row>
    <row r="8" spans="1:3" ht="15.75" customHeight="1" x14ac:dyDescent="0.3">
      <c r="A8" s="13" t="s">
        <v>54</v>
      </c>
      <c r="B8" s="20">
        <f>IF(Calculateur!$B$3&lt;=2000,0,Calculateur!$B$3*0.2/100)</f>
        <v>10</v>
      </c>
      <c r="C8" s="20">
        <f>IF((B8/Calculateur!$B$3)&gt;0.005,Calculateur!$B$3*0.5/100,B8)</f>
        <v>10</v>
      </c>
    </row>
    <row r="10" spans="1:3" ht="15.75" customHeight="1" x14ac:dyDescent="0.3">
      <c r="A10" s="13" t="s">
        <v>38</v>
      </c>
    </row>
    <row r="11" spans="1:3" ht="15.75" customHeight="1" x14ac:dyDescent="0.3">
      <c r="A11" s="13" t="s">
        <v>40</v>
      </c>
      <c r="B11" s="13" t="s">
        <v>41</v>
      </c>
      <c r="C11" s="13" t="s">
        <v>42</v>
      </c>
    </row>
    <row r="12" spans="1:3" ht="15.75" customHeight="1" x14ac:dyDescent="0.3">
      <c r="A12">
        <f>IF(Calculateur!$B$2="Allemagne",Calculateur!$B$3*0.2/100,0)</f>
        <v>0</v>
      </c>
      <c r="B12">
        <f>IF(Calculateur!$B$2&lt;&gt;"Allemagne",0,IF(A12&lt;20,50,A12+30))</f>
        <v>0</v>
      </c>
      <c r="C12">
        <f>IF(B12/Calculateur!$B$3&gt;0.005,Calculateur!$B$3*0.5/100,B12)</f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36"/>
  <sheetViews>
    <sheetView workbookViewId="0"/>
  </sheetViews>
  <sheetFormatPr baseColWidth="10" defaultColWidth="14.4609375" defaultRowHeight="15.75" customHeight="1" x14ac:dyDescent="0.3"/>
  <cols>
    <col min="1" max="1" width="28.15234375" customWidth="1"/>
    <col min="2" max="2" width="15.3046875" customWidth="1"/>
  </cols>
  <sheetData>
    <row r="1" spans="1:6" ht="15.45" x14ac:dyDescent="0.4">
      <c r="A1" s="14"/>
      <c r="B1" s="15" t="s">
        <v>28</v>
      </c>
    </row>
    <row r="2" spans="1:6" ht="15.45" x14ac:dyDescent="0.4">
      <c r="A2" s="17" t="s">
        <v>29</v>
      </c>
      <c r="B2" s="18">
        <f>IF(Calculateur!$B$2="Euronext (Paris, Bruxelles, Amstedam)",B5,E10)</f>
        <v>25</v>
      </c>
    </row>
    <row r="4" spans="1:6" ht="15.75" customHeight="1" x14ac:dyDescent="0.3">
      <c r="E4" s="13">
        <v>6580</v>
      </c>
      <c r="F4">
        <f>E4*0.45/100</f>
        <v>29.61</v>
      </c>
    </row>
    <row r="5" spans="1:6" ht="15.75" customHeight="1" x14ac:dyDescent="0.3">
      <c r="A5" s="13" t="s">
        <v>30</v>
      </c>
      <c r="B5">
        <f>SUM(B6:B8)</f>
        <v>25</v>
      </c>
    </row>
    <row r="6" spans="1:6" ht="15.75" customHeight="1" x14ac:dyDescent="0.3">
      <c r="A6" s="13" t="s">
        <v>55</v>
      </c>
      <c r="B6">
        <f>IF(Calculateur!$B$3&lt;=398,Calculateur!$B$3*0.5/100,0)</f>
        <v>0</v>
      </c>
    </row>
    <row r="7" spans="1:6" ht="15.75" customHeight="1" x14ac:dyDescent="0.3">
      <c r="A7" s="13" t="s">
        <v>56</v>
      </c>
      <c r="B7">
        <f>IF(Calculateur!$B$3&lt;=398,0,IF(Calculateur!$B$3&lt;=500,1.99,0))</f>
        <v>0</v>
      </c>
    </row>
    <row r="8" spans="1:6" ht="15.75" customHeight="1" x14ac:dyDescent="0.3">
      <c r="A8" s="13" t="s">
        <v>57</v>
      </c>
      <c r="B8" s="20">
        <f>IF(Calculateur!$B$3&gt;500,Calculateur!$B$3*0.5/100,0)</f>
        <v>25</v>
      </c>
    </row>
    <row r="10" spans="1:6" ht="15.75" customHeight="1" x14ac:dyDescent="0.3">
      <c r="A10" s="13" t="s">
        <v>38</v>
      </c>
      <c r="E10">
        <f>IFERROR(C12+C16+C20+C24+C28+C32+C36,"Non disponible")</f>
        <v>0</v>
      </c>
    </row>
    <row r="11" spans="1:6" ht="15.75" customHeight="1" x14ac:dyDescent="0.3">
      <c r="A11" s="13" t="s">
        <v>40</v>
      </c>
      <c r="B11" s="13" t="s">
        <v>41</v>
      </c>
      <c r="C11" s="13" t="s">
        <v>42</v>
      </c>
    </row>
    <row r="12" spans="1:6" ht="15.75" customHeight="1" x14ac:dyDescent="0.3">
      <c r="A12">
        <f>IF(Calculateur!$B$2="Allemagne",Calculateur!$B$3*0.5/100,0)</f>
        <v>0</v>
      </c>
      <c r="B12">
        <f>IF(Calculateur!$B$2&lt;&gt;"Allemagne",0,IF(Calculateur!$B$3&lt;=6580,A12,Calculateur!$B$3*0.45/100))</f>
        <v>0</v>
      </c>
      <c r="C12">
        <f>B12</f>
        <v>0</v>
      </c>
    </row>
    <row r="14" spans="1:6" ht="15.75" customHeight="1" x14ac:dyDescent="0.3">
      <c r="A14" s="13" t="s">
        <v>23</v>
      </c>
    </row>
    <row r="15" spans="1:6" ht="15.75" customHeight="1" x14ac:dyDescent="0.3">
      <c r="A15" s="13" t="s">
        <v>40</v>
      </c>
      <c r="B15" s="13" t="s">
        <v>41</v>
      </c>
      <c r="C15" s="13" t="s">
        <v>42</v>
      </c>
    </row>
    <row r="16" spans="1:6" ht="15.75" customHeight="1" x14ac:dyDescent="0.3">
      <c r="A16">
        <f>IF(Calculateur!$B$2="Espagne",Calculateur!$B$3*0.5/100,0)</f>
        <v>0</v>
      </c>
      <c r="B16">
        <f>IF(Calculateur!$B$2&lt;&gt;"Espagne",0,IF(Calculateur!$B$3&lt;=6580,A16,Calculateur!$B$3*0.45/100))</f>
        <v>0</v>
      </c>
      <c r="C16">
        <f>B16</f>
        <v>0</v>
      </c>
    </row>
    <row r="18" spans="1:3" ht="15.75" customHeight="1" x14ac:dyDescent="0.3">
      <c r="A18" s="13" t="s">
        <v>43</v>
      </c>
    </row>
    <row r="19" spans="1:3" ht="15.75" customHeight="1" x14ac:dyDescent="0.3">
      <c r="A19" s="13" t="s">
        <v>40</v>
      </c>
      <c r="B19" s="13" t="s">
        <v>41</v>
      </c>
      <c r="C19" s="13" t="s">
        <v>42</v>
      </c>
    </row>
    <row r="20" spans="1:3" ht="15.75" customHeight="1" x14ac:dyDescent="0.3">
      <c r="A20">
        <f>IF(Calculateur!$B$2="Suisse",Calculateur!$B$3*0.5/100,0)</f>
        <v>0</v>
      </c>
      <c r="B20">
        <f>IF(Calculateur!$B$2&lt;&gt;"Suisse",0,IF(Calculateur!$B$3&lt;=6580,A20,Calculateur!$B$3*0.45/100))</f>
        <v>0</v>
      </c>
      <c r="C20">
        <f>B20</f>
        <v>0</v>
      </c>
    </row>
    <row r="22" spans="1:3" ht="15.75" customHeight="1" x14ac:dyDescent="0.3">
      <c r="A22" s="13" t="s">
        <v>24</v>
      </c>
    </row>
    <row r="23" spans="1:3" ht="15.75" customHeight="1" x14ac:dyDescent="0.3">
      <c r="A23" s="13" t="s">
        <v>40</v>
      </c>
      <c r="B23" s="13" t="s">
        <v>41</v>
      </c>
      <c r="C23" s="13" t="s">
        <v>42</v>
      </c>
    </row>
    <row r="24" spans="1:3" ht="15.75" customHeight="1" x14ac:dyDescent="0.3">
      <c r="A24" t="b">
        <f>IF(Calculateur!$B$2="Portugal","Non disponible")</f>
        <v>0</v>
      </c>
      <c r="B24">
        <f>IF(Calculateur!$B$2&lt;&gt;"Portugal",0,IF(A24&lt;18,18,A24))</f>
        <v>0</v>
      </c>
      <c r="C24">
        <f>B24</f>
        <v>0</v>
      </c>
    </row>
    <row r="26" spans="1:3" ht="12.45" x14ac:dyDescent="0.3">
      <c r="A26" s="13" t="s">
        <v>26</v>
      </c>
    </row>
    <row r="27" spans="1:3" ht="12.45" x14ac:dyDescent="0.3">
      <c r="A27" s="13" t="s">
        <v>40</v>
      </c>
      <c r="B27" s="13" t="s">
        <v>41</v>
      </c>
      <c r="C27" s="13" t="s">
        <v>42</v>
      </c>
    </row>
    <row r="28" spans="1:3" ht="12.45" x14ac:dyDescent="0.3">
      <c r="A28">
        <f>IF(Calculateur!$B$2="Italie",Calculateur!$B$3*0.5/100,0)</f>
        <v>0</v>
      </c>
      <c r="B28">
        <f>IF(Calculateur!$B$2&lt;&gt;"Italie",0,IF(Calculateur!$B$3&lt;=6580,A28,Calculateur!$B$3*0.45/100))</f>
        <v>0</v>
      </c>
      <c r="C28">
        <f>B28</f>
        <v>0</v>
      </c>
    </row>
    <row r="30" spans="1:3" ht="12.45" x14ac:dyDescent="0.3">
      <c r="A30" s="13" t="s">
        <v>25</v>
      </c>
    </row>
    <row r="31" spans="1:3" ht="12.45" x14ac:dyDescent="0.3">
      <c r="A31" s="13" t="s">
        <v>40</v>
      </c>
      <c r="B31" s="13" t="s">
        <v>41</v>
      </c>
      <c r="C31" s="13" t="s">
        <v>42</v>
      </c>
    </row>
    <row r="32" spans="1:3" ht="12.45" x14ac:dyDescent="0.3">
      <c r="A32" t="b">
        <f>IF(Calculateur!$B$2="Irlande","Non disponible")</f>
        <v>0</v>
      </c>
      <c r="B32">
        <f>IF(Calculateur!$B$2&lt;&gt;"Irlande",0,IF(A32&lt;18,18,A32))</f>
        <v>0</v>
      </c>
      <c r="C32">
        <f>B32</f>
        <v>0</v>
      </c>
    </row>
    <row r="34" spans="1:3" ht="12.45" x14ac:dyDescent="0.3">
      <c r="A34" s="13" t="s">
        <v>27</v>
      </c>
    </row>
    <row r="35" spans="1:3" ht="12.45" x14ac:dyDescent="0.3">
      <c r="A35" s="13" t="s">
        <v>40</v>
      </c>
      <c r="B35" s="13" t="s">
        <v>41</v>
      </c>
      <c r="C35" s="13" t="s">
        <v>42</v>
      </c>
    </row>
    <row r="36" spans="1:3" ht="12.45" x14ac:dyDescent="0.3">
      <c r="A36" t="b">
        <f>IF(Calculateur!$B$2="Autriche","Non disponible")</f>
        <v>0</v>
      </c>
      <c r="B36">
        <f>IF(Calculateur!$B$2&lt;&gt;"Autriche",0,IF(A36&lt;18,18,A36))</f>
        <v>0</v>
      </c>
      <c r="C36">
        <f>B36</f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E36"/>
  <sheetViews>
    <sheetView workbookViewId="0"/>
  </sheetViews>
  <sheetFormatPr baseColWidth="10" defaultColWidth="14.4609375" defaultRowHeight="15.75" customHeight="1" x14ac:dyDescent="0.3"/>
  <cols>
    <col min="1" max="1" width="28.15234375" customWidth="1"/>
    <col min="2" max="2" width="15.3046875" customWidth="1"/>
    <col min="3" max="3" width="8.4609375" customWidth="1"/>
  </cols>
  <sheetData>
    <row r="1" spans="1:5" ht="15.45" x14ac:dyDescent="0.4">
      <c r="A1" s="14"/>
      <c r="B1" s="15" t="s">
        <v>28</v>
      </c>
      <c r="C1" s="15"/>
    </row>
    <row r="2" spans="1:5" ht="15.45" x14ac:dyDescent="0.4">
      <c r="A2" s="17" t="s">
        <v>29</v>
      </c>
      <c r="B2" s="18">
        <f>IF(Calculateur!$B$2="Euronext (Paris, Bruxelles, Amstedam)",B5,E10)</f>
        <v>16.649999999999999</v>
      </c>
      <c r="C2" s="19" t="e">
        <f>B2/#REF!</f>
        <v>#REF!</v>
      </c>
    </row>
    <row r="5" spans="1:5" ht="15.75" customHeight="1" x14ac:dyDescent="0.3">
      <c r="A5" s="13" t="s">
        <v>30</v>
      </c>
      <c r="B5">
        <f>SUM(B6:B8)</f>
        <v>16.649999999999999</v>
      </c>
    </row>
    <row r="6" spans="1:5" ht="15.75" customHeight="1" x14ac:dyDescent="0.3">
      <c r="A6" s="13" t="s">
        <v>58</v>
      </c>
      <c r="B6">
        <f>IF(Calculateur!$B$3&lt;=3330,Calculateur!$B$3*0.5/100,0)</f>
        <v>0</v>
      </c>
    </row>
    <row r="7" spans="1:5" ht="15.75" customHeight="1" x14ac:dyDescent="0.3">
      <c r="A7" s="13" t="s">
        <v>59</v>
      </c>
      <c r="B7">
        <f>IF(Calculateur!$B$3&lt;=3330,0,IF(Calculateur!$B$3&lt;=7750,16.65,0))</f>
        <v>16.649999999999999</v>
      </c>
    </row>
    <row r="8" spans="1:5" ht="15.75" customHeight="1" x14ac:dyDescent="0.3">
      <c r="A8" s="13" t="s">
        <v>57</v>
      </c>
      <c r="B8">
        <f>IF(Calculateur!$B$3&gt;7750,Calculateur!$B$3*0.5/100,0)</f>
        <v>0</v>
      </c>
    </row>
    <row r="10" spans="1:5" ht="15.75" customHeight="1" x14ac:dyDescent="0.3">
      <c r="A10" s="13" t="s">
        <v>38</v>
      </c>
      <c r="E10">
        <f>IFERROR(C12+C16+C20+C24+C28+C32+C36,"Non disponible")</f>
        <v>0</v>
      </c>
    </row>
    <row r="11" spans="1:5" ht="15.75" customHeight="1" x14ac:dyDescent="0.3">
      <c r="A11" s="13" t="s">
        <v>40</v>
      </c>
      <c r="B11" s="13" t="s">
        <v>41</v>
      </c>
      <c r="C11" s="13" t="s">
        <v>42</v>
      </c>
    </row>
    <row r="12" spans="1:5" ht="15.75" customHeight="1" x14ac:dyDescent="0.3">
      <c r="A12">
        <f>IF(Calculateur!$B$2="Allemagne",Calculateur!$B$3*0.5/100,0)</f>
        <v>0</v>
      </c>
      <c r="B12">
        <f>IF(Calculateur!$B$2&lt;&gt;"Allemagne",0,IF(Calculateur!$B$3&lt;=6580,A12,Calculateur!$B$3*0.45/100))</f>
        <v>0</v>
      </c>
      <c r="C12">
        <f>B12</f>
        <v>0</v>
      </c>
    </row>
    <row r="14" spans="1:5" ht="15.75" customHeight="1" x14ac:dyDescent="0.3">
      <c r="A14" s="13" t="s">
        <v>23</v>
      </c>
    </row>
    <row r="15" spans="1:5" ht="15.75" customHeight="1" x14ac:dyDescent="0.3">
      <c r="A15" s="13" t="s">
        <v>40</v>
      </c>
      <c r="B15" s="13" t="s">
        <v>41</v>
      </c>
      <c r="C15" s="13" t="s">
        <v>42</v>
      </c>
    </row>
    <row r="16" spans="1:5" ht="15.75" customHeight="1" x14ac:dyDescent="0.3">
      <c r="A16">
        <f>IF(Calculateur!$B$2="Espagne",Calculateur!$B$3*0.5/100,0)</f>
        <v>0</v>
      </c>
      <c r="B16">
        <f>IF(Calculateur!$B$2&lt;&gt;"Espagne",0,IF(Calculateur!$B$3&lt;=6580,A16,Calculateur!$B$3*0.45/100))</f>
        <v>0</v>
      </c>
      <c r="C16">
        <f>B16</f>
        <v>0</v>
      </c>
    </row>
    <row r="18" spans="1:3" ht="15.75" customHeight="1" x14ac:dyDescent="0.3">
      <c r="A18" s="13" t="s">
        <v>43</v>
      </c>
    </row>
    <row r="19" spans="1:3" ht="15.75" customHeight="1" x14ac:dyDescent="0.3">
      <c r="A19" s="13" t="s">
        <v>40</v>
      </c>
      <c r="B19" s="13" t="s">
        <v>41</v>
      </c>
      <c r="C19" s="13" t="s">
        <v>42</v>
      </c>
    </row>
    <row r="20" spans="1:3" ht="15.75" customHeight="1" x14ac:dyDescent="0.3">
      <c r="A20">
        <f>IF(Calculateur!$B$2="Suisse",Calculateur!$B$3*0.5/100,0)</f>
        <v>0</v>
      </c>
      <c r="B20">
        <f>IF(Calculateur!$B$2&lt;&gt;"Suisse",0,IF(Calculateur!$B$3&lt;=6580,A20,Calculateur!$B$3*0.45/100))</f>
        <v>0</v>
      </c>
      <c r="C20">
        <f>B20</f>
        <v>0</v>
      </c>
    </row>
    <row r="22" spans="1:3" ht="15.75" customHeight="1" x14ac:dyDescent="0.3">
      <c r="A22" s="13" t="s">
        <v>24</v>
      </c>
    </row>
    <row r="23" spans="1:3" ht="15.75" customHeight="1" x14ac:dyDescent="0.3">
      <c r="A23" s="13" t="s">
        <v>40</v>
      </c>
      <c r="B23" s="13" t="s">
        <v>41</v>
      </c>
      <c r="C23" s="13" t="s">
        <v>42</v>
      </c>
    </row>
    <row r="24" spans="1:3" ht="15.75" customHeight="1" x14ac:dyDescent="0.3">
      <c r="A24" t="b">
        <f>IF(Calculateur!$B$2="Portugal","Non disponible")</f>
        <v>0</v>
      </c>
      <c r="B24">
        <f>IF(Calculateur!$B$2&lt;&gt;"Portugal",0,IF(A24&lt;18,18,A24))</f>
        <v>0</v>
      </c>
      <c r="C24">
        <f>B24</f>
        <v>0</v>
      </c>
    </row>
    <row r="26" spans="1:3" ht="12.45" x14ac:dyDescent="0.3">
      <c r="A26" s="13" t="s">
        <v>26</v>
      </c>
    </row>
    <row r="27" spans="1:3" ht="12.45" x14ac:dyDescent="0.3">
      <c r="A27" s="13" t="s">
        <v>40</v>
      </c>
      <c r="B27" s="13" t="s">
        <v>41</v>
      </c>
      <c r="C27" s="13" t="s">
        <v>42</v>
      </c>
    </row>
    <row r="28" spans="1:3" ht="12.45" x14ac:dyDescent="0.3">
      <c r="A28">
        <f>IF(Calculateur!$B$2="Italie",Calculateur!$B$3*0.5/100,0)</f>
        <v>0</v>
      </c>
      <c r="B28">
        <f>IF(Calculateur!$B$2&lt;&gt;"Italie",0,IF(Calculateur!$B$3&lt;=6580,A28,Calculateur!$B$3*0.45/100))</f>
        <v>0</v>
      </c>
      <c r="C28">
        <f>B28</f>
        <v>0</v>
      </c>
    </row>
    <row r="30" spans="1:3" ht="12.45" x14ac:dyDescent="0.3">
      <c r="A30" s="13" t="s">
        <v>25</v>
      </c>
    </row>
    <row r="31" spans="1:3" ht="12.45" x14ac:dyDescent="0.3">
      <c r="A31" s="13" t="s">
        <v>40</v>
      </c>
      <c r="B31" s="13" t="s">
        <v>41</v>
      </c>
      <c r="C31" s="13" t="s">
        <v>42</v>
      </c>
    </row>
    <row r="32" spans="1:3" ht="12.45" x14ac:dyDescent="0.3">
      <c r="A32" t="b">
        <f>IF(Calculateur!$B$2="Irlande","Non disponible")</f>
        <v>0</v>
      </c>
      <c r="B32">
        <f>IF(Calculateur!$B$2&lt;&gt;"Irlande",0,IF(A32&lt;18,18,A32))</f>
        <v>0</v>
      </c>
      <c r="C32">
        <f>B32</f>
        <v>0</v>
      </c>
    </row>
    <row r="34" spans="1:3" ht="12.45" x14ac:dyDescent="0.3">
      <c r="A34" s="13" t="s">
        <v>27</v>
      </c>
    </row>
    <row r="35" spans="1:3" ht="12.45" x14ac:dyDescent="0.3">
      <c r="A35" s="13" t="s">
        <v>40</v>
      </c>
      <c r="B35" s="13" t="s">
        <v>41</v>
      </c>
      <c r="C35" s="13" t="s">
        <v>42</v>
      </c>
    </row>
    <row r="36" spans="1:3" ht="12.45" x14ac:dyDescent="0.3">
      <c r="A36" t="b">
        <f>IF(Calculateur!$B$2="Autriche","Non disponible")</f>
        <v>0</v>
      </c>
      <c r="B36">
        <f>IF(Calculateur!$B$2&lt;&gt;"Autriche",0,IF(A36&lt;18,18,A36))</f>
        <v>0</v>
      </c>
      <c r="C36">
        <f>B36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Calculateur</vt:lpstr>
      <vt:lpstr>ASavoir</vt:lpstr>
      <vt:lpstr>Places</vt:lpstr>
      <vt:lpstr>BourseDirect</vt:lpstr>
      <vt:lpstr>SaxoBanque</vt:lpstr>
      <vt:lpstr>FortuneoZeroCourtage</vt:lpstr>
      <vt:lpstr>FortuneoOptimum</vt:lpstr>
      <vt:lpstr>BoursoDecouverte</vt:lpstr>
      <vt:lpstr>BoursoTrader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Jouffroy Bertrand</cp:lastModifiedBy>
  <dcterms:modified xsi:type="dcterms:W3CDTF">2021-02-20T16:52:52Z</dcterms:modified>
</cp:coreProperties>
</file>