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ouff\Dropbox\RevenusEtDividendes\Formations\CourtiersGagnants\CourtiersGagnants_Module2\"/>
    </mc:Choice>
  </mc:AlternateContent>
  <xr:revisionPtr revIDLastSave="0" documentId="13_ncr:1_{65C19C3E-56D3-4D31-AFF2-C55112637493}" xr6:coauthVersionLast="46" xr6:coauthVersionMax="46" xr10:uidLastSave="{00000000-0000-0000-0000-000000000000}"/>
  <bookViews>
    <workbookView xWindow="-103" yWindow="-103" windowWidth="19543" windowHeight="12497" firstSheet="1" activeTab="1" xr2:uid="{00000000-000D-0000-FFFF-FFFF00000000}"/>
  </bookViews>
  <sheets>
    <sheet name="Trading212" sheetId="16" state="hidden" r:id="rId1"/>
    <sheet name="OperationsEuros" sheetId="1" r:id="rId2"/>
    <sheet name="BoursoClassic" sheetId="2" state="hidden" r:id="rId3"/>
    <sheet name="BoursoDecouverte" sheetId="3" state="hidden" r:id="rId4"/>
    <sheet name="Lynx" sheetId="4" state="hidden" r:id="rId5"/>
    <sheet name="OperationsUSD" sheetId="5" r:id="rId6"/>
    <sheet name="DeGiro" sheetId="6" state="hidden" r:id="rId7"/>
    <sheet name="SaxoBanque" sheetId="7" state="hidden" r:id="rId8"/>
    <sheet name="ASavoir" sheetId="8" r:id="rId9"/>
    <sheet name="Places" sheetId="9" state="hidden" r:id="rId10"/>
    <sheet name="BourseDirect" sheetId="10" state="hidden" r:id="rId11"/>
    <sheet name="IB" sheetId="11" state="hidden" r:id="rId12"/>
    <sheet name="FortuneoZeroCourtage" sheetId="12" state="hidden" r:id="rId13"/>
    <sheet name="FortuneoOptimum" sheetId="13" state="hidden" r:id="rId14"/>
    <sheet name="Feuille 7" sheetId="14" state="hidden" r:id="rId15"/>
    <sheet name="TauxChange" sheetId="15" r:id="rId16"/>
  </sheets>
  <calcPr calcId="191029"/>
</workbook>
</file>

<file path=xl/calcChain.xml><?xml version="1.0" encoding="utf-8"?>
<calcChain xmlns="http://schemas.openxmlformats.org/spreadsheetml/2006/main">
  <c r="J3" i="16" l="1"/>
  <c r="C41" i="16"/>
  <c r="B41" i="16"/>
  <c r="A41" i="16"/>
  <c r="B37" i="16"/>
  <c r="C37" i="16" s="1"/>
  <c r="A37" i="16"/>
  <c r="B33" i="16"/>
  <c r="C33" i="16" s="1"/>
  <c r="A33" i="16"/>
  <c r="A29" i="16"/>
  <c r="B29" i="16" s="1"/>
  <c r="C29" i="16" s="1"/>
  <c r="B25" i="16"/>
  <c r="C25" i="16" s="1"/>
  <c r="A25" i="16"/>
  <c r="B21" i="16"/>
  <c r="C21" i="16" s="1"/>
  <c r="A21" i="16"/>
  <c r="B17" i="16"/>
  <c r="C17" i="16" s="1"/>
  <c r="A17" i="16"/>
  <c r="B11" i="16"/>
  <c r="C11" i="16" s="1"/>
  <c r="C10" i="16"/>
  <c r="B10" i="16"/>
  <c r="C9" i="16"/>
  <c r="B9" i="16"/>
  <c r="C8" i="16"/>
  <c r="B8" i="16"/>
  <c r="B7" i="16"/>
  <c r="C7" i="16" s="1"/>
  <c r="B2" i="16" s="1"/>
  <c r="C2" i="16" s="1"/>
  <c r="J4" i="16"/>
  <c r="B2" i="12"/>
  <c r="C13" i="16" l="1"/>
  <c r="J3" i="6"/>
  <c r="J3" i="11"/>
  <c r="J3" i="4"/>
  <c r="J4" i="11" l="1"/>
  <c r="G9" i="14"/>
  <c r="H9" i="14" s="1"/>
  <c r="G8" i="14"/>
  <c r="H8" i="14" s="1"/>
  <c r="G7" i="14"/>
  <c r="H7" i="14" s="1"/>
  <c r="L6" i="14"/>
  <c r="K6" i="14"/>
  <c r="J6" i="14"/>
  <c r="G6" i="14"/>
  <c r="G5" i="14"/>
  <c r="H5" i="14" s="1"/>
  <c r="L4" i="14"/>
  <c r="K4" i="14"/>
  <c r="J4" i="14"/>
  <c r="G4" i="14"/>
  <c r="H4" i="14" s="1"/>
  <c r="G3" i="14"/>
  <c r="H3" i="14" s="1"/>
  <c r="G2" i="14"/>
  <c r="H6" i="14"/>
  <c r="A12" i="13"/>
  <c r="B12" i="13" s="1"/>
  <c r="C12" i="13" s="1"/>
  <c r="B8" i="13"/>
  <c r="C8" i="13" s="1"/>
  <c r="G7" i="13"/>
  <c r="H7" i="13" s="1"/>
  <c r="B7" i="13"/>
  <c r="C7" i="13" s="1"/>
  <c r="B6" i="13"/>
  <c r="C6" i="13" s="1"/>
  <c r="A9" i="12"/>
  <c r="B9" i="12" s="1"/>
  <c r="C9" i="12" s="1"/>
  <c r="G7" i="12"/>
  <c r="H7" i="12" s="1"/>
  <c r="A5" i="12"/>
  <c r="B5" i="12" s="1"/>
  <c r="A36" i="11"/>
  <c r="B36" i="11" s="1"/>
  <c r="A32" i="11"/>
  <c r="B32" i="11" s="1"/>
  <c r="A28" i="11"/>
  <c r="B28" i="11" s="1"/>
  <c r="A24" i="11"/>
  <c r="B24" i="11" s="1"/>
  <c r="B20" i="11"/>
  <c r="A20" i="11"/>
  <c r="A16" i="11"/>
  <c r="B16" i="11" s="1"/>
  <c r="A12" i="11"/>
  <c r="B12" i="11" s="1"/>
  <c r="H6" i="11"/>
  <c r="H2" i="11" s="1"/>
  <c r="A6" i="11"/>
  <c r="B6" i="11" s="1"/>
  <c r="B42" i="10"/>
  <c r="C42" i="10" s="1"/>
  <c r="A42" i="10"/>
  <c r="A38" i="10"/>
  <c r="B38" i="10" s="1"/>
  <c r="C38" i="10" s="1"/>
  <c r="A34" i="10"/>
  <c r="B34" i="10" s="1"/>
  <c r="C34" i="10" s="1"/>
  <c r="A30" i="10"/>
  <c r="B30" i="10" s="1"/>
  <c r="C30" i="10" s="1"/>
  <c r="B26" i="10"/>
  <c r="C26" i="10" s="1"/>
  <c r="A26" i="10"/>
  <c r="A22" i="10"/>
  <c r="B22" i="10" s="1"/>
  <c r="C22" i="10" s="1"/>
  <c r="A18" i="10"/>
  <c r="B18" i="10" s="1"/>
  <c r="C18" i="10" s="1"/>
  <c r="B14" i="10"/>
  <c r="B13" i="10"/>
  <c r="B12" i="10"/>
  <c r="B11" i="10"/>
  <c r="B10" i="10"/>
  <c r="B9" i="10"/>
  <c r="G7" i="10"/>
  <c r="H7" i="10" s="1"/>
  <c r="B41" i="7"/>
  <c r="C41" i="7" s="1"/>
  <c r="A41" i="7"/>
  <c r="A37" i="7"/>
  <c r="B37" i="7" s="1"/>
  <c r="C37" i="7" s="1"/>
  <c r="A33" i="7"/>
  <c r="B33" i="7" s="1"/>
  <c r="C33" i="7" s="1"/>
  <c r="A29" i="7"/>
  <c r="B29" i="7" s="1"/>
  <c r="C29" i="7" s="1"/>
  <c r="B25" i="7"/>
  <c r="C25" i="7" s="1"/>
  <c r="A25" i="7"/>
  <c r="A21" i="7"/>
  <c r="B21" i="7" s="1"/>
  <c r="C21" i="7" s="1"/>
  <c r="A17" i="7"/>
  <c r="B17" i="7" s="1"/>
  <c r="C17" i="7" s="1"/>
  <c r="B11" i="7"/>
  <c r="C11" i="7" s="1"/>
  <c r="B10" i="7"/>
  <c r="C10" i="7" s="1"/>
  <c r="B9" i="7"/>
  <c r="C9" i="7" s="1"/>
  <c r="B8" i="7"/>
  <c r="C8" i="7" s="1"/>
  <c r="B7" i="7"/>
  <c r="C7" i="7" s="1"/>
  <c r="A36" i="6"/>
  <c r="B36" i="6" s="1"/>
  <c r="A32" i="6"/>
  <c r="B32" i="6" s="1"/>
  <c r="A28" i="6"/>
  <c r="B28" i="6" s="1"/>
  <c r="A24" i="6"/>
  <c r="B24" i="6" s="1"/>
  <c r="B20" i="6"/>
  <c r="A20" i="6"/>
  <c r="A16" i="6"/>
  <c r="B16" i="6" s="1"/>
  <c r="A12" i="6"/>
  <c r="B12" i="6" s="1"/>
  <c r="A6" i="6"/>
  <c r="B6" i="6" s="1"/>
  <c r="B4" i="5"/>
  <c r="H6" i="16" s="1"/>
  <c r="G2" i="16" s="1"/>
  <c r="A36" i="4"/>
  <c r="B36" i="4" s="1"/>
  <c r="A32" i="4"/>
  <c r="B32" i="4" s="1"/>
  <c r="A28" i="4"/>
  <c r="B28" i="4" s="1"/>
  <c r="A24" i="4"/>
  <c r="B24" i="4" s="1"/>
  <c r="B20" i="4"/>
  <c r="A20" i="4"/>
  <c r="A16" i="4"/>
  <c r="B16" i="4" s="1"/>
  <c r="A12" i="4"/>
  <c r="B12" i="4" s="1"/>
  <c r="H10" i="4"/>
  <c r="I10" i="4" s="1"/>
  <c r="H8" i="4"/>
  <c r="H7" i="4"/>
  <c r="A6" i="4"/>
  <c r="B6" i="4" s="1"/>
  <c r="B36" i="3"/>
  <c r="C36" i="3" s="1"/>
  <c r="A36" i="3"/>
  <c r="A32" i="3"/>
  <c r="B32" i="3" s="1"/>
  <c r="C32" i="3" s="1"/>
  <c r="A28" i="3"/>
  <c r="B28" i="3" s="1"/>
  <c r="C28" i="3" s="1"/>
  <c r="A24" i="3"/>
  <c r="B24" i="3" s="1"/>
  <c r="C24" i="3" s="1"/>
  <c r="B20" i="3"/>
  <c r="C20" i="3" s="1"/>
  <c r="A20" i="3"/>
  <c r="A16" i="3"/>
  <c r="B16" i="3" s="1"/>
  <c r="C16" i="3" s="1"/>
  <c r="A12" i="3"/>
  <c r="B12" i="3" s="1"/>
  <c r="C12" i="3" s="1"/>
  <c r="B7" i="3"/>
  <c r="B6" i="3"/>
  <c r="A36" i="2"/>
  <c r="B36" i="2" s="1"/>
  <c r="C36" i="2" s="1"/>
  <c r="A32" i="2"/>
  <c r="B32" i="2" s="1"/>
  <c r="C32" i="2" s="1"/>
  <c r="A28" i="2"/>
  <c r="B28" i="2" s="1"/>
  <c r="C28" i="2" s="1"/>
  <c r="B24" i="2"/>
  <c r="C24" i="2" s="1"/>
  <c r="A24" i="2"/>
  <c r="B20" i="2"/>
  <c r="C20" i="2" s="1"/>
  <c r="A20" i="2"/>
  <c r="A16" i="2"/>
  <c r="B16" i="2" s="1"/>
  <c r="C16" i="2" s="1"/>
  <c r="A12" i="2"/>
  <c r="B12" i="2" s="1"/>
  <c r="C12" i="2" s="1"/>
  <c r="B7" i="2"/>
  <c r="C7" i="2" s="1"/>
  <c r="B6" i="2"/>
  <c r="C6" i="2" s="1"/>
  <c r="C14" i="1"/>
  <c r="I6" i="16" l="1"/>
  <c r="H9" i="16"/>
  <c r="K4" i="16"/>
  <c r="K3" i="16"/>
  <c r="B7" i="1"/>
  <c r="C7" i="1" s="1"/>
  <c r="B4" i="3"/>
  <c r="B8" i="11"/>
  <c r="B2" i="11" s="1"/>
  <c r="B12" i="1" s="1"/>
  <c r="C12" i="1" s="1"/>
  <c r="B8" i="4"/>
  <c r="B2" i="4" s="1"/>
  <c r="B8" i="6"/>
  <c r="B2" i="6" s="1"/>
  <c r="B4" i="2"/>
  <c r="E10" i="2"/>
  <c r="H6" i="4"/>
  <c r="H2" i="4" s="1"/>
  <c r="G2" i="4" s="1"/>
  <c r="G2" i="11"/>
  <c r="B16" i="5"/>
  <c r="C13" i="7"/>
  <c r="B2" i="7" s="1"/>
  <c r="E18" i="10"/>
  <c r="B2" i="10" s="1"/>
  <c r="E10" i="3"/>
  <c r="C5" i="13"/>
  <c r="B2" i="13" s="1"/>
  <c r="J3" i="3"/>
  <c r="K3" i="3" s="1"/>
  <c r="K3" i="4"/>
  <c r="J4" i="10"/>
  <c r="K4" i="10" s="1"/>
  <c r="K4" i="11"/>
  <c r="J3" i="12"/>
  <c r="K3" i="12" s="1"/>
  <c r="C5" i="12"/>
  <c r="H2" i="14"/>
  <c r="J3" i="2"/>
  <c r="K3" i="2" s="1"/>
  <c r="I6" i="4"/>
  <c r="J4" i="6"/>
  <c r="K4" i="6" s="1"/>
  <c r="J4" i="7"/>
  <c r="K4" i="7" s="1"/>
  <c r="J4" i="3"/>
  <c r="K4" i="3" s="1"/>
  <c r="K3" i="11"/>
  <c r="H6" i="7"/>
  <c r="H2" i="7" s="1"/>
  <c r="H9" i="7"/>
  <c r="I6" i="11"/>
  <c r="J4" i="12"/>
  <c r="K4" i="12" s="1"/>
  <c r="J4" i="4"/>
  <c r="K4" i="4" s="1"/>
  <c r="I6" i="7"/>
  <c r="J3" i="10"/>
  <c r="K3" i="10" s="1"/>
  <c r="J4" i="2"/>
  <c r="K4" i="2" s="1"/>
  <c r="K3" i="6"/>
  <c r="H6" i="6"/>
  <c r="H2" i="6" s="1"/>
  <c r="J3" i="7"/>
  <c r="K3" i="7" s="1"/>
  <c r="B5" i="5"/>
  <c r="I6" i="6"/>
  <c r="G3" i="16" l="1"/>
  <c r="G3" i="6"/>
  <c r="B2" i="3"/>
  <c r="B9" i="1" s="1"/>
  <c r="C9" i="1" s="1"/>
  <c r="G3" i="11"/>
  <c r="G4" i="11" s="1"/>
  <c r="G3" i="4"/>
  <c r="G4" i="4" s="1"/>
  <c r="I2" i="4" s="1"/>
  <c r="G3" i="7"/>
  <c r="B15" i="5"/>
  <c r="C2" i="4"/>
  <c r="B13" i="1"/>
  <c r="C13" i="1" s="1"/>
  <c r="B11" i="1"/>
  <c r="C11" i="1" s="1"/>
  <c r="C2" i="7"/>
  <c r="B6" i="1"/>
  <c r="C6" i="1" s="1"/>
  <c r="C2" i="10"/>
  <c r="B15" i="1"/>
  <c r="C15" i="1" s="1"/>
  <c r="C2" i="6"/>
  <c r="B2" i="2"/>
  <c r="C2" i="2" s="1"/>
  <c r="C2" i="11"/>
  <c r="H3" i="3"/>
  <c r="H3" i="10"/>
  <c r="B13" i="5"/>
  <c r="G2" i="7"/>
  <c r="B8" i="1"/>
  <c r="C8" i="1" s="1"/>
  <c r="C2" i="13"/>
  <c r="H3" i="2"/>
  <c r="G6" i="10"/>
  <c r="H6" i="10" s="1"/>
  <c r="G6" i="13"/>
  <c r="H6" i="13" s="1"/>
  <c r="H2" i="13" s="1"/>
  <c r="G6" i="2"/>
  <c r="H6" i="2" s="1"/>
  <c r="H2" i="2" s="1"/>
  <c r="G6" i="12"/>
  <c r="H6" i="12" s="1"/>
  <c r="H2" i="12" s="1"/>
  <c r="G6" i="3"/>
  <c r="H6" i="3" s="1"/>
  <c r="H2" i="3" s="1"/>
  <c r="G2" i="6"/>
  <c r="B17" i="5"/>
  <c r="I6" i="10" l="1"/>
  <c r="H2" i="10" s="1"/>
  <c r="H4" i="10" s="1"/>
  <c r="G4" i="16"/>
  <c r="I3" i="16" s="1"/>
  <c r="E18" i="5" s="1"/>
  <c r="B10" i="1"/>
  <c r="C10" i="1" s="1"/>
  <c r="H4" i="13"/>
  <c r="I2" i="13" s="1"/>
  <c r="I4" i="4"/>
  <c r="C15" i="5"/>
  <c r="D15" i="5" s="1"/>
  <c r="G4" i="6"/>
  <c r="I4" i="11"/>
  <c r="B40" i="5"/>
  <c r="C16" i="5"/>
  <c r="D16" i="5" s="1"/>
  <c r="H4" i="2"/>
  <c r="I2" i="2" s="1"/>
  <c r="I3" i="11"/>
  <c r="E16" i="5" s="1"/>
  <c r="I2" i="11"/>
  <c r="G4" i="7"/>
  <c r="H4" i="3"/>
  <c r="I2" i="3" s="1"/>
  <c r="H4" i="12"/>
  <c r="I3" i="4"/>
  <c r="E15" i="5" s="1"/>
  <c r="I4" i="16" l="1"/>
  <c r="C18" i="5"/>
  <c r="D18" i="5" s="1"/>
  <c r="I2" i="16"/>
  <c r="C17" i="5"/>
  <c r="D17" i="5" s="1"/>
  <c r="I4" i="6"/>
  <c r="I3" i="6"/>
  <c r="E17" i="5" s="1"/>
  <c r="C14" i="5"/>
  <c r="D14" i="5" s="1"/>
  <c r="I4" i="10"/>
  <c r="I3" i="12"/>
  <c r="I4" i="12"/>
  <c r="C9" i="5"/>
  <c r="D9" i="5" s="1"/>
  <c r="C12" i="5"/>
  <c r="D12" i="5" s="1"/>
  <c r="I4" i="2"/>
  <c r="I2" i="12"/>
  <c r="I3" i="10"/>
  <c r="E14" i="5" s="1"/>
  <c r="C13" i="5"/>
  <c r="D13" i="5" s="1"/>
  <c r="I4" i="7"/>
  <c r="I3" i="7"/>
  <c r="E13" i="5" s="1"/>
  <c r="I2" i="6"/>
  <c r="I2" i="7"/>
  <c r="I2" i="10"/>
  <c r="I4" i="3"/>
  <c r="C11" i="5"/>
  <c r="D11" i="5" s="1"/>
  <c r="I3" i="3"/>
  <c r="E11" i="5" s="1"/>
  <c r="I3" i="2"/>
  <c r="E12" i="5" s="1"/>
  <c r="I4" i="13"/>
  <c r="I3" i="13"/>
  <c r="C10" i="5"/>
  <c r="D10" i="5" s="1"/>
</calcChain>
</file>

<file path=xl/sharedStrings.xml><?xml version="1.0" encoding="utf-8"?>
<sst xmlns="http://schemas.openxmlformats.org/spreadsheetml/2006/main" count="445" uniqueCount="108">
  <si>
    <t>Achat</t>
  </si>
  <si>
    <t>Bourse :</t>
  </si>
  <si>
    <t>Euronext (Paris, Bruxelles, Amstedam)</t>
  </si>
  <si>
    <t>Valeur ordre en € :</t>
  </si>
  <si>
    <t>Frais de courtage</t>
  </si>
  <si>
    <t>Montant en valeur</t>
  </si>
  <si>
    <t>En % du montant  de l'ordre :</t>
  </si>
  <si>
    <t>Bourse Direct</t>
  </si>
  <si>
    <t>Fortuneo Zero Courtage</t>
  </si>
  <si>
    <t>Fortuneo Optimum</t>
  </si>
  <si>
    <t>Boursorama Découverte</t>
  </si>
  <si>
    <t>Boursorama Classic</t>
  </si>
  <si>
    <t>Saxo Banque</t>
  </si>
  <si>
    <t>Interactive Brokers</t>
  </si>
  <si>
    <t>Lynx Broker</t>
  </si>
  <si>
    <t>Trading 212</t>
  </si>
  <si>
    <t>DeGiro</t>
  </si>
  <si>
    <t>USD</t>
  </si>
  <si>
    <t>Frais de courtage :</t>
  </si>
  <si>
    <t>Commission change</t>
  </si>
  <si>
    <t>Total</t>
  </si>
  <si>
    <t>Montant Ordre</t>
  </si>
  <si>
    <t>&lt;1000</t>
  </si>
  <si>
    <t>Courtage</t>
  </si>
  <si>
    <t>&gt;1000</t>
  </si>
  <si>
    <t>Francfort</t>
  </si>
  <si>
    <t>Min.</t>
  </si>
  <si>
    <t>PEA</t>
  </si>
  <si>
    <t>Espagne</t>
  </si>
  <si>
    <t>Suisse</t>
  </si>
  <si>
    <t>Portugal</t>
  </si>
  <si>
    <t>Italie</t>
  </si>
  <si>
    <t>Irlande</t>
  </si>
  <si>
    <t>Autriche</t>
  </si>
  <si>
    <t>&lt;500</t>
  </si>
  <si>
    <t>&gt;500</t>
  </si>
  <si>
    <t>Euros</t>
  </si>
  <si>
    <t>Dollars</t>
  </si>
  <si>
    <t>Euronext</t>
  </si>
  <si>
    <t>&lt;2000</t>
  </si>
  <si>
    <t>Hors Euronext</t>
  </si>
  <si>
    <t>&gt;2000</t>
  </si>
  <si>
    <t>New York (NYSE, NASDAQ)</t>
  </si>
  <si>
    <t>Valeur action (en $) :</t>
  </si>
  <si>
    <t>Nombre actions :</t>
  </si>
  <si>
    <t>Valeur ordre en $ :</t>
  </si>
  <si>
    <t>Montant ordre en € :</t>
  </si>
  <si>
    <t>Montant en $</t>
  </si>
  <si>
    <t>Montant en euros</t>
  </si>
  <si>
    <t>Part "commission change"</t>
  </si>
  <si>
    <t>Normal</t>
  </si>
  <si>
    <t>CTO</t>
  </si>
  <si>
    <t>1000&lt;X&lt;5000</t>
  </si>
  <si>
    <t>5000&lt;X&lt;7500</t>
  </si>
  <si>
    <t>7500&lt;X&lt;10000</t>
  </si>
  <si>
    <t>&gt;10000</t>
  </si>
  <si>
    <t>Rappel/Précisions concernant ce fichier</t>
  </si>
  <si>
    <t>Date de dernière mise à jour :</t>
  </si>
  <si>
    <t>1) Précisions générales</t>
  </si>
  <si>
    <t>- Cet outil est fourni à titre indicatif.</t>
  </si>
  <si>
    <t>- Les résultats sont fournis à la date de dernière mise à jour et selon les informations fournies par les courtiers.</t>
  </si>
  <si>
    <t>- Je vous invite, dans tous les cas, à vous référer à la brochure tarifaire de chaque courtier.</t>
  </si>
  <si>
    <t>- Les calculs ont été réalisés pour l'investissement dans le seul cadre du Compte-Titres Ordinaire (les tarifs et calculs sont différents dans un PEA).</t>
  </si>
  <si>
    <t>- Les calculs prennent en compte uniquement les frais de courtage et les éventuelles commissions de change.</t>
  </si>
  <si>
    <t>- Les calculs ne prennent pas en compte les éventuels autres frais (droits de garde, facturation minimale, etc...)</t>
  </si>
  <si>
    <t>- De la même manière les différentes taxes à l'achat applicables selon les pays ("TTF" en France, "Duty Stamp" en UK, etc...) ne sont pas prises en compte.</t>
  </si>
  <si>
    <t>- Les calculs effectués dans cet onglet concernent les frais de courtage pour des achats/ventes d'actions côtées en euros.</t>
  </si>
  <si>
    <t>- Les calculs effectués prennent, pour chaque courtier, l'hypothèse/le cas d'un compte en euros (ou éventuellement multi-devise).</t>
  </si>
  <si>
    <t>- Les calculs prennent en compte uniquement les frais de courtage et les éventuelles commissions de change. non les éventuels autres frais (droits de garde, facturation minimale, etc...)</t>
  </si>
  <si>
    <t>- Seules les bourses d'Euronext, de Suisse, du Portugal, et de l'Espagne ont été pris en compte.</t>
  </si>
  <si>
    <t>- Dans le cas de la formule "Fortuneo Zero Courtage", les calculs ont été effectués hors de la franchise de 2-3 transactions/mois.</t>
  </si>
  <si>
    <t>- Les calculs effectués dans cet onglet concernent les frais de courtage pour des achats/ventes d'actions côtées en dollar (USD) et sur le NYSE ou NASDAQ.</t>
  </si>
  <si>
    <t>- Les montants en Dollar s'appliquent hors commission de change.</t>
  </si>
  <si>
    <t>Allemagne</t>
  </si>
  <si>
    <t>Change</t>
  </si>
  <si>
    <t>&lt;198</t>
  </si>
  <si>
    <t>198&lt;X&lt;500</t>
  </si>
  <si>
    <t>500&lt;X&lt;1000</t>
  </si>
  <si>
    <t>1000&lt;X&lt;2000</t>
  </si>
  <si>
    <t>2000&lt;X&lt;4400</t>
  </si>
  <si>
    <t>&gt;4400</t>
  </si>
  <si>
    <t>Total CTO</t>
  </si>
  <si>
    <t xml:space="preserve">CTO </t>
  </si>
  <si>
    <t>Achat/Vente</t>
  </si>
  <si>
    <t>500&lt;X&lt;2000</t>
  </si>
  <si>
    <t>Année 2</t>
  </si>
  <si>
    <t>Année 3</t>
  </si>
  <si>
    <t>Année 4</t>
  </si>
  <si>
    <t>Fortuneo :</t>
  </si>
  <si>
    <t>Boursorama :</t>
  </si>
  <si>
    <t>Saxo Banque :</t>
  </si>
  <si>
    <t>Binck :</t>
  </si>
  <si>
    <t>Bourse Direct :</t>
  </si>
  <si>
    <t>Lynx :</t>
  </si>
  <si>
    <t>DeGiro :</t>
  </si>
  <si>
    <t>Interactive Brokers :</t>
  </si>
  <si>
    <t>Ordre 1 000 €</t>
  </si>
  <si>
    <t>Ordre 5 000 €</t>
  </si>
  <si>
    <t>Ordre 10 000 €</t>
  </si>
  <si>
    <t>Taux de change EUR/USD :</t>
  </si>
  <si>
    <t>#REF!</t>
  </si>
  <si>
    <t>2) Précisions concernant le "Operations Euros"</t>
  </si>
  <si>
    <t>3) Précisions concernant le "Operations USD"</t>
  </si>
  <si>
    <t>- Les montants en Euros s'appliquent en prenant en compte les commissions de change (et la part de celle-ci dans les frais est détaillée).</t>
  </si>
  <si>
    <t>- Les montants en Euros s'appliquent dans le cadre d'un compte en euros. Ils permettent ainsi de comparer les tarifs des courtiers entre eux sur la base d'un même type de compte.</t>
  </si>
  <si>
    <t>Non calculé</t>
  </si>
  <si>
    <t>- Si vous souhaitez déverouiller ce fichier, le code de déverouillage est : "dividende" (sans les guillemets)</t>
  </si>
  <si>
    <t>Frais totaux (courtage + commission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</si>
</sst>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
    <numFmt numFmtId="165" formatCode="#,##0.00\ [$€-1]"/>
    <numFmt numFmtId="166" formatCode="#,##0.0000"/>
    <numFmt numFmtId="167" formatCode="#,##0\ [$€-1]"/>
  </numFmts>
  <fonts count="30">
    <font>
      <sz val="10"/>
      <color rgb="FF000000"/>
      <name val="Arial"/>
    </font>
    <font>
      <sz val="12"/>
      <color rgb="FF0000FF"/>
      <name val="Arial"/>
    </font>
    <font>
      <b/>
      <sz val="12"/>
      <color rgb="FF0000FF"/>
      <name val="Arial"/>
    </font>
    <font>
      <sz val="10"/>
      <name val="Arial"/>
    </font>
    <font>
      <b/>
      <sz val="12"/>
      <name val="Arial"/>
    </font>
    <font>
      <b/>
      <sz val="14"/>
      <color rgb="FF0000FF"/>
      <name val="Arial"/>
    </font>
    <font>
      <b/>
      <sz val="11"/>
      <color rgb="FF0000FF"/>
      <name val="Arial"/>
    </font>
    <font>
      <b/>
      <sz val="12"/>
      <color rgb="FF9900FF"/>
      <name val="Arial"/>
    </font>
    <font>
      <b/>
      <i/>
      <sz val="12"/>
      <color rgb="FFFF0000"/>
      <name val="Arial"/>
    </font>
    <font>
      <sz val="11"/>
      <color rgb="FF000000"/>
      <name val="Calibri"/>
    </font>
    <font>
      <sz val="12"/>
      <name val="Arial"/>
    </font>
    <font>
      <b/>
      <sz val="12"/>
      <color rgb="FFFF0000"/>
      <name val="Arial"/>
    </font>
    <font>
      <b/>
      <sz val="10"/>
      <color rgb="FFFF0000"/>
      <name val="Arial"/>
    </font>
    <font>
      <i/>
      <sz val="10"/>
      <name val="Arial"/>
    </font>
    <font>
      <sz val="11"/>
      <color rgb="FF000000"/>
      <name val="Inconsolata"/>
    </font>
    <font>
      <sz val="10"/>
      <name val="Arial"/>
    </font>
    <font>
      <b/>
      <sz val="14"/>
      <color rgb="FF0000FF"/>
      <name val="Arial"/>
    </font>
    <font>
      <b/>
      <sz val="11"/>
      <name val="Arial"/>
    </font>
    <font>
      <b/>
      <sz val="10"/>
      <name val="Arial"/>
    </font>
    <font>
      <b/>
      <sz val="12"/>
      <color rgb="FF980000"/>
      <name val="Arial"/>
    </font>
    <font>
      <b/>
      <sz val="11"/>
      <color rgb="FFFF0000"/>
      <name val="Arial"/>
    </font>
    <font>
      <sz val="12"/>
      <name val="Arial"/>
    </font>
    <font>
      <b/>
      <sz val="12"/>
      <color rgb="FFFF0000"/>
      <name val="Arial"/>
    </font>
    <font>
      <b/>
      <sz val="12"/>
      <name val="Arial"/>
    </font>
    <font>
      <i/>
      <sz val="10"/>
      <name val="Arial"/>
    </font>
    <font>
      <b/>
      <sz val="11"/>
      <name val="Arial"/>
      <family val="2"/>
    </font>
    <font>
      <b/>
      <i/>
      <sz val="12"/>
      <color rgb="FF0070C0"/>
      <name val="Arial"/>
      <family val="2"/>
    </font>
    <font>
      <b/>
      <sz val="11"/>
      <color rgb="FFFF0000"/>
      <name val="Arial"/>
      <family val="2"/>
    </font>
    <font>
      <b/>
      <sz val="11"/>
      <color rgb="FF000000"/>
      <name val="Arial"/>
      <family val="2"/>
    </font>
    <font>
      <b/>
      <sz val="11"/>
      <color rgb="FF00B050"/>
      <name val="Arial"/>
      <family val="2"/>
    </font>
  </fonts>
  <fills count="7">
    <fill>
      <patternFill patternType="none"/>
    </fill>
    <fill>
      <patternFill patternType="gray125"/>
    </fill>
    <fill>
      <patternFill patternType="solid">
        <fgColor rgb="FFF7CB4D"/>
        <bgColor rgb="FFF7CB4D"/>
      </patternFill>
    </fill>
    <fill>
      <patternFill patternType="solid">
        <fgColor rgb="FFFFFFFF"/>
        <bgColor rgb="FFFFFFFF"/>
      </patternFill>
    </fill>
    <fill>
      <patternFill patternType="solid">
        <fgColor rgb="FFFEF8E3"/>
        <bgColor rgb="FFFEF8E3"/>
      </patternFill>
    </fill>
    <fill>
      <patternFill patternType="solid">
        <fgColor rgb="FF4DD0E1"/>
        <bgColor rgb="FF4DD0E1"/>
      </patternFill>
    </fill>
    <fill>
      <patternFill patternType="solid">
        <fgColor rgb="FFE0F7FA"/>
        <bgColor rgb="FFE0F7FA"/>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100">
    <xf numFmtId="0" fontId="0" fillId="0" borderId="0" xfId="0" applyFont="1" applyAlignment="1"/>
    <xf numFmtId="0" fontId="3" fillId="0" borderId="0" xfId="0" applyFont="1" applyAlignment="1">
      <alignment horizontal="center"/>
    </xf>
    <xf numFmtId="0" fontId="3" fillId="3" borderId="0" xfId="0" applyFont="1" applyFill="1"/>
    <xf numFmtId="0" fontId="7" fillId="0" borderId="0" xfId="0" applyFont="1" applyAlignment="1"/>
    <xf numFmtId="0" fontId="9" fillId="0" borderId="0" xfId="0" applyFont="1" applyAlignment="1"/>
    <xf numFmtId="166" fontId="3" fillId="0" borderId="0" xfId="0" applyNumberFormat="1" applyFont="1"/>
    <xf numFmtId="0" fontId="10" fillId="0" borderId="1" xfId="0" applyFont="1" applyBorder="1" applyAlignment="1"/>
    <xf numFmtId="0" fontId="11" fillId="0" borderId="1" xfId="0" applyFont="1" applyBorder="1" applyAlignment="1">
      <alignment horizontal="center"/>
    </xf>
    <xf numFmtId="0" fontId="12" fillId="0" borderId="0" xfId="0" applyFont="1" applyAlignment="1">
      <alignment horizontal="center"/>
    </xf>
    <xf numFmtId="0" fontId="11" fillId="0" borderId="0" xfId="0" applyFont="1" applyAlignment="1">
      <alignment horizontal="center"/>
    </xf>
    <xf numFmtId="0" fontId="4" fillId="0" borderId="1" xfId="0" applyFont="1" applyBorder="1" applyAlignment="1"/>
    <xf numFmtId="165" fontId="4" fillId="0" borderId="1" xfId="0" applyNumberFormat="1" applyFont="1" applyBorder="1"/>
    <xf numFmtId="10" fontId="13" fillId="0" borderId="1" xfId="0" applyNumberFormat="1" applyFont="1" applyBorder="1"/>
    <xf numFmtId="165" fontId="4" fillId="0" borderId="1" xfId="0" applyNumberFormat="1" applyFont="1" applyBorder="1"/>
    <xf numFmtId="0" fontId="13" fillId="0" borderId="0" xfId="0" applyFont="1"/>
    <xf numFmtId="0" fontId="4" fillId="0" borderId="0" xfId="0" applyFont="1" applyAlignment="1"/>
    <xf numFmtId="165" fontId="4" fillId="0" borderId="0" xfId="0" applyNumberFormat="1" applyFont="1"/>
    <xf numFmtId="10" fontId="13" fillId="0" borderId="0" xfId="0" applyNumberFormat="1" applyFont="1"/>
    <xf numFmtId="164" fontId="13" fillId="0" borderId="0" xfId="0" applyNumberFormat="1" applyFont="1"/>
    <xf numFmtId="0" fontId="14" fillId="3" borderId="0" xfId="0" applyFont="1" applyFill="1"/>
    <xf numFmtId="164" fontId="14" fillId="3" borderId="0" xfId="0" applyNumberFormat="1" applyFont="1" applyFill="1"/>
    <xf numFmtId="0" fontId="3" fillId="0" borderId="0" xfId="0" applyFont="1" applyAlignment="1"/>
    <xf numFmtId="165" fontId="3" fillId="0" borderId="0" xfId="0" applyNumberFormat="1" applyFont="1"/>
    <xf numFmtId="165" fontId="3" fillId="0" borderId="0" xfId="0" applyNumberFormat="1" applyFont="1"/>
    <xf numFmtId="0" fontId="15" fillId="0" borderId="0" xfId="0" applyFont="1" applyAlignment="1"/>
    <xf numFmtId="0" fontId="15" fillId="0" borderId="0" xfId="0" applyFont="1" applyAlignment="1">
      <alignment horizontal="right"/>
    </xf>
    <xf numFmtId="0" fontId="15" fillId="0" borderId="0" xfId="0" applyFont="1" applyAlignment="1">
      <alignment horizontal="center"/>
    </xf>
    <xf numFmtId="164" fontId="4" fillId="0" borderId="1" xfId="0" applyNumberFormat="1" applyFont="1" applyBorder="1"/>
    <xf numFmtId="10" fontId="8" fillId="0" borderId="0" xfId="0" applyNumberFormat="1" applyFont="1"/>
    <xf numFmtId="165" fontId="4" fillId="0" borderId="0" xfId="0" applyNumberFormat="1" applyFont="1"/>
    <xf numFmtId="164" fontId="4" fillId="0" borderId="0" xfId="0" applyNumberFormat="1" applyFont="1"/>
    <xf numFmtId="164" fontId="3" fillId="0" borderId="0" xfId="0" applyNumberFormat="1" applyFont="1"/>
    <xf numFmtId="0" fontId="15" fillId="0" borderId="0" xfId="0" applyFont="1" applyAlignment="1"/>
    <xf numFmtId="0" fontId="17" fillId="0" borderId="0" xfId="0" applyFont="1"/>
    <xf numFmtId="0" fontId="18" fillId="0" borderId="0" xfId="0" applyFont="1"/>
    <xf numFmtId="0" fontId="20" fillId="0" borderId="0" xfId="0" applyFont="1"/>
    <xf numFmtId="0" fontId="17" fillId="0" borderId="0" xfId="0" applyFont="1" applyAlignment="1"/>
    <xf numFmtId="0" fontId="20" fillId="0" borderId="0" xfId="0" applyFont="1" applyAlignment="1"/>
    <xf numFmtId="10" fontId="3" fillId="0" borderId="0" xfId="0" applyNumberFormat="1" applyFont="1"/>
    <xf numFmtId="0" fontId="15" fillId="0" borderId="2" xfId="0" applyFont="1" applyBorder="1" applyAlignment="1"/>
    <xf numFmtId="0" fontId="21" fillId="5" borderId="3" xfId="0" applyFont="1" applyFill="1" applyBorder="1" applyAlignment="1"/>
    <xf numFmtId="0" fontId="22" fillId="5" borderId="3" xfId="0" applyFont="1" applyFill="1" applyBorder="1" applyAlignment="1">
      <alignment horizontal="center"/>
    </xf>
    <xf numFmtId="0" fontId="15" fillId="5" borderId="0" xfId="0" applyFont="1" applyFill="1" applyAlignment="1"/>
    <xf numFmtId="0" fontId="23" fillId="3" borderId="4" xfId="0" applyFont="1" applyFill="1" applyBorder="1" applyAlignment="1"/>
    <xf numFmtId="165" fontId="23" fillId="3" borderId="4" xfId="0" applyNumberFormat="1" applyFont="1" applyFill="1" applyBorder="1" applyAlignment="1">
      <alignment horizontal="right"/>
    </xf>
    <xf numFmtId="0" fontId="24" fillId="3" borderId="4" xfId="0" applyFont="1" applyFill="1" applyBorder="1" applyAlignment="1">
      <alignment horizontal="right"/>
    </xf>
    <xf numFmtId="0" fontId="15" fillId="3" borderId="0" xfId="0" applyFont="1" applyFill="1" applyAlignment="1"/>
    <xf numFmtId="0" fontId="15" fillId="0" borderId="0" xfId="0" applyFont="1" applyAlignment="1"/>
    <xf numFmtId="0" fontId="23" fillId="6" borderId="0" xfId="0" applyFont="1" applyFill="1" applyAlignment="1"/>
    <xf numFmtId="165" fontId="23" fillId="6" borderId="0" xfId="0" applyNumberFormat="1" applyFont="1" applyFill="1" applyAlignment="1">
      <alignment horizontal="right"/>
    </xf>
    <xf numFmtId="10" fontId="24" fillId="6" borderId="0" xfId="0" applyNumberFormat="1" applyFont="1" applyFill="1" applyAlignment="1">
      <alignment horizontal="right"/>
    </xf>
    <xf numFmtId="0" fontId="24" fillId="6" borderId="0" xfId="0" applyFont="1" applyFill="1" applyAlignment="1">
      <alignment horizontal="right"/>
    </xf>
    <xf numFmtId="164" fontId="24" fillId="6" borderId="0" xfId="0" applyNumberFormat="1" applyFont="1" applyFill="1" applyAlignment="1">
      <alignment horizontal="right"/>
    </xf>
    <xf numFmtId="0" fontId="23" fillId="3" borderId="0" xfId="0" applyFont="1" applyFill="1" applyAlignment="1"/>
    <xf numFmtId="165" fontId="23" fillId="3" borderId="0" xfId="0" applyNumberFormat="1" applyFont="1" applyFill="1" applyAlignment="1">
      <alignment horizontal="right"/>
    </xf>
    <xf numFmtId="0" fontId="24" fillId="3" borderId="0" xfId="0" applyFont="1" applyFill="1" applyAlignment="1">
      <alignment horizontal="right"/>
    </xf>
    <xf numFmtId="0" fontId="14" fillId="3" borderId="0" xfId="0" applyFont="1" applyFill="1" applyAlignment="1">
      <alignment horizontal="right"/>
    </xf>
    <xf numFmtId="164" fontId="14" fillId="3" borderId="0" xfId="0" applyNumberFormat="1" applyFont="1" applyFill="1" applyAlignment="1">
      <alignment horizontal="right"/>
    </xf>
    <xf numFmtId="165" fontId="15" fillId="0" borderId="0" xfId="0" applyNumberFormat="1" applyFont="1" applyAlignment="1">
      <alignment horizontal="right"/>
    </xf>
    <xf numFmtId="0" fontId="15" fillId="0" borderId="0" xfId="0" applyFont="1" applyAlignment="1">
      <alignment horizontal="right"/>
    </xf>
    <xf numFmtId="165" fontId="3" fillId="0" borderId="0" xfId="0" applyNumberFormat="1" applyFont="1" applyAlignment="1"/>
    <xf numFmtId="167" fontId="3" fillId="0" borderId="0" xfId="0" applyNumberFormat="1" applyFont="1"/>
    <xf numFmtId="164" fontId="4" fillId="0" borderId="0" xfId="0" applyNumberFormat="1" applyFont="1" applyAlignment="1" applyProtection="1">
      <protection locked="0"/>
    </xf>
    <xf numFmtId="3" fontId="4" fillId="0" borderId="0" xfId="0" applyNumberFormat="1" applyFont="1" applyAlignment="1" applyProtection="1">
      <protection locked="0"/>
    </xf>
    <xf numFmtId="164" fontId="4" fillId="0" borderId="0" xfId="0" applyNumberFormat="1" applyFont="1" applyAlignment="1" applyProtection="1"/>
    <xf numFmtId="165" fontId="11" fillId="0" borderId="0" xfId="0" applyNumberFormat="1" applyFont="1" applyProtection="1"/>
    <xf numFmtId="0" fontId="4" fillId="0" borderId="0" xfId="0" applyFont="1" applyAlignment="1" applyProtection="1">
      <protection locked="0"/>
    </xf>
    <xf numFmtId="165" fontId="4" fillId="0" borderId="0" xfId="0" applyNumberFormat="1" applyFont="1" applyAlignment="1" applyProtection="1">
      <protection locked="0"/>
    </xf>
    <xf numFmtId="0" fontId="4" fillId="3" borderId="0" xfId="0" applyFont="1" applyFill="1" applyAlignment="1" applyProtection="1">
      <protection locked="0"/>
    </xf>
    <xf numFmtId="0" fontId="11" fillId="0" borderId="0" xfId="0" applyFont="1" applyAlignment="1" applyProtection="1">
      <protection locked="0"/>
    </xf>
    <xf numFmtId="0" fontId="0" fillId="0" borderId="0" xfId="0" applyFont="1" applyAlignment="1" applyProtection="1">
      <protection locked="0"/>
    </xf>
    <xf numFmtId="0" fontId="3" fillId="3" borderId="0" xfId="0" applyFont="1" applyFill="1" applyProtection="1">
      <protection locked="0"/>
    </xf>
    <xf numFmtId="0" fontId="6" fillId="3" borderId="0" xfId="0" applyFont="1" applyFill="1" applyAlignment="1" applyProtection="1">
      <alignment horizontal="center"/>
      <protection locked="0"/>
    </xf>
    <xf numFmtId="0" fontId="6" fillId="0" borderId="0" xfId="0" applyFont="1" applyAlignment="1" applyProtection="1">
      <alignment horizontal="center"/>
      <protection locked="0"/>
    </xf>
    <xf numFmtId="0" fontId="6" fillId="0" borderId="0" xfId="0" applyFont="1" applyAlignment="1" applyProtection="1">
      <alignment horizontal="left"/>
      <protection locked="0"/>
    </xf>
    <xf numFmtId="0" fontId="7" fillId="0" borderId="0" xfId="0" applyFont="1" applyProtection="1">
      <protection locked="0"/>
    </xf>
    <xf numFmtId="10" fontId="8" fillId="0" borderId="0" xfId="0" applyNumberFormat="1" applyFont="1" applyProtection="1">
      <protection locked="0"/>
    </xf>
    <xf numFmtId="0" fontId="7" fillId="0" borderId="0" xfId="0" applyFont="1" applyAlignment="1" applyProtection="1"/>
    <xf numFmtId="0" fontId="0" fillId="0" borderId="0" xfId="0" applyFont="1" applyAlignment="1" applyProtection="1"/>
    <xf numFmtId="165" fontId="4" fillId="0" borderId="0" xfId="0" applyNumberFormat="1" applyFont="1" applyAlignment="1" applyProtection="1">
      <alignment horizontal="center"/>
    </xf>
    <xf numFmtId="10" fontId="8" fillId="0" borderId="0" xfId="0" applyNumberFormat="1" applyFont="1" applyAlignment="1" applyProtection="1">
      <alignment horizontal="center"/>
    </xf>
    <xf numFmtId="164" fontId="4" fillId="0" borderId="0" xfId="0" applyNumberFormat="1" applyFont="1" applyAlignment="1" applyProtection="1">
      <alignment horizontal="center"/>
    </xf>
    <xf numFmtId="0" fontId="27" fillId="0" borderId="0" xfId="0" applyFont="1" applyAlignment="1"/>
    <xf numFmtId="0" fontId="1" fillId="2" borderId="0" xfId="0" applyFont="1" applyFill="1" applyAlignment="1" applyProtection="1">
      <protection locked="0"/>
    </xf>
    <xf numFmtId="164" fontId="2" fillId="2" borderId="0" xfId="0" applyNumberFormat="1" applyFont="1" applyFill="1" applyAlignment="1" applyProtection="1">
      <alignment horizontal="center"/>
      <protection locked="0"/>
    </xf>
    <xf numFmtId="0" fontId="3" fillId="0" borderId="0" xfId="0" applyFont="1" applyAlignment="1" applyProtection="1">
      <alignment horizontal="center"/>
      <protection locked="0"/>
    </xf>
    <xf numFmtId="0" fontId="4" fillId="4" borderId="0" xfId="0" applyFont="1" applyFill="1" applyAlignment="1" applyProtection="1">
      <protection locked="0"/>
    </xf>
    <xf numFmtId="165" fontId="4" fillId="4" borderId="0" xfId="0" applyNumberFormat="1" applyFont="1" applyFill="1" applyAlignment="1" applyProtection="1">
      <protection locked="0"/>
    </xf>
    <xf numFmtId="0" fontId="28" fillId="0" borderId="0" xfId="0" applyFont="1" applyAlignment="1"/>
    <xf numFmtId="9" fontId="26" fillId="0" borderId="0" xfId="0" applyNumberFormat="1" applyFont="1" applyAlignment="1" applyProtection="1">
      <alignment horizontal="center"/>
    </xf>
    <xf numFmtId="0" fontId="25" fillId="0" borderId="0" xfId="0" quotePrefix="1" applyFont="1" applyAlignment="1"/>
    <xf numFmtId="0" fontId="0" fillId="0" borderId="0" xfId="0" applyFont="1" applyAlignment="1"/>
    <xf numFmtId="165" fontId="4" fillId="3" borderId="0" xfId="0" applyNumberFormat="1" applyFont="1" applyFill="1" applyAlignment="1" applyProtection="1">
      <protection locked="0"/>
    </xf>
    <xf numFmtId="0" fontId="29" fillId="0" borderId="0" xfId="0" quotePrefix="1" applyFont="1"/>
    <xf numFmtId="0" fontId="0" fillId="0" borderId="0" xfId="0" applyFont="1" applyAlignment="1"/>
    <xf numFmtId="0" fontId="5" fillId="3" borderId="0" xfId="0" applyFont="1" applyFill="1" applyAlignment="1" applyProtection="1">
      <alignment horizontal="center"/>
      <protection locked="0"/>
    </xf>
    <xf numFmtId="0" fontId="0" fillId="0" borderId="0" xfId="0" applyFont="1" applyAlignment="1" applyProtection="1">
      <protection locked="0"/>
    </xf>
    <xf numFmtId="0" fontId="16" fillId="0" borderId="0" xfId="0" applyFont="1" applyAlignment="1">
      <alignment horizontal="center" wrapText="1"/>
    </xf>
    <xf numFmtId="0" fontId="0" fillId="0" borderId="0" xfId="0" applyFont="1" applyAlignment="1"/>
    <xf numFmtId="17" fontId="19" fillId="0" borderId="0" xfId="0" quotePrefix="1" applyNumberFormat="1" applyFont="1" applyAlignment="1"/>
  </cellXfs>
  <cellStyles count="1">
    <cellStyle name="Normal" xfId="0" builtinId="0"/>
  </cellStyles>
  <dxfs count="64">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EF8E3"/>
          <bgColor rgb="FFFEF8E3"/>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s>
  <tableStyles count="19">
    <tableStyle name="BoursoClassic-style" pivot="0" count="3" xr9:uid="{00000000-0011-0000-FFFF-FFFF00000000}">
      <tableStyleElement type="headerRow" dxfId="63"/>
      <tableStyleElement type="firstRowStripe" dxfId="62"/>
      <tableStyleElement type="secondRowStripe" dxfId="61"/>
    </tableStyle>
    <tableStyle name="BoursoClassic-style 2" pivot="0" count="3" xr9:uid="{00000000-0011-0000-FFFF-FFFF01000000}">
      <tableStyleElement type="headerRow" dxfId="60"/>
      <tableStyleElement type="firstRowStripe" dxfId="59"/>
      <tableStyleElement type="secondRowStripe" dxfId="58"/>
    </tableStyle>
    <tableStyle name="BoursoDecouverte-style" pivot="0" count="3" xr9:uid="{00000000-0011-0000-FFFF-FFFF02000000}">
      <tableStyleElement type="headerRow" dxfId="57"/>
      <tableStyleElement type="firstRowStripe" dxfId="56"/>
      <tableStyleElement type="secondRowStripe" dxfId="55"/>
    </tableStyle>
    <tableStyle name="BoursoDecouverte-style 2" pivot="0" count="3" xr9:uid="{00000000-0011-0000-FFFF-FFFF03000000}">
      <tableStyleElement type="headerRow" dxfId="54"/>
      <tableStyleElement type="firstRowStripe" dxfId="53"/>
      <tableStyleElement type="secondRowStripe" dxfId="52"/>
    </tableStyle>
    <tableStyle name="Lynx-style" pivot="0" count="3" xr9:uid="{00000000-0011-0000-FFFF-FFFF04000000}">
      <tableStyleElement type="headerRow" dxfId="51"/>
      <tableStyleElement type="firstRowStripe" dxfId="50"/>
      <tableStyleElement type="secondRowStripe" dxfId="49"/>
    </tableStyle>
    <tableStyle name="Lynx-style 2" pivot="0" count="3" xr9:uid="{00000000-0011-0000-FFFF-FFFF05000000}">
      <tableStyleElement type="headerRow" dxfId="48"/>
      <tableStyleElement type="firstRowStripe" dxfId="47"/>
      <tableStyleElement type="secondRowStripe" dxfId="46"/>
    </tableStyle>
    <tableStyle name="OperationsUSD-style" pivot="0" count="2" xr9:uid="{00000000-0011-0000-FFFF-FFFF06000000}">
      <tableStyleElement type="firstRowStripe" dxfId="45"/>
      <tableStyleElement type="secondRowStripe" dxfId="44"/>
    </tableStyle>
    <tableStyle name="DeGiro-style" pivot="0" count="3" xr9:uid="{00000000-0011-0000-FFFF-FFFF07000000}">
      <tableStyleElement type="headerRow" dxfId="43"/>
      <tableStyleElement type="firstRowStripe" dxfId="42"/>
      <tableStyleElement type="secondRowStripe" dxfId="41"/>
    </tableStyle>
    <tableStyle name="DeGiro-style 2" pivot="0" count="3" xr9:uid="{00000000-0011-0000-FFFF-FFFF08000000}">
      <tableStyleElement type="headerRow" dxfId="40"/>
      <tableStyleElement type="firstRowStripe" dxfId="39"/>
      <tableStyleElement type="secondRowStripe" dxfId="38"/>
    </tableStyle>
    <tableStyle name="SaxoBanque-style" pivot="0" count="3" xr9:uid="{00000000-0011-0000-FFFF-FFFF09000000}">
      <tableStyleElement type="headerRow" dxfId="37"/>
      <tableStyleElement type="firstRowStripe" dxfId="36"/>
      <tableStyleElement type="secondRowStripe" dxfId="35"/>
    </tableStyle>
    <tableStyle name="SaxoBanque-style 2" pivot="0" count="3" xr9:uid="{00000000-0011-0000-FFFF-FFFF0A000000}">
      <tableStyleElement type="headerRow" dxfId="34"/>
      <tableStyleElement type="firstRowStripe" dxfId="33"/>
      <tableStyleElement type="secondRowStripe" dxfId="32"/>
    </tableStyle>
    <tableStyle name="BourseDirect-style" pivot="0" count="3" xr9:uid="{00000000-0011-0000-FFFF-FFFF0B000000}">
      <tableStyleElement type="headerRow" dxfId="31"/>
      <tableStyleElement type="firstRowStripe" dxfId="30"/>
      <tableStyleElement type="secondRowStripe" dxfId="29"/>
    </tableStyle>
    <tableStyle name="BourseDirect-style 2" pivot="0" count="3" xr9:uid="{00000000-0011-0000-FFFF-FFFF0C000000}">
      <tableStyleElement type="headerRow" dxfId="28"/>
      <tableStyleElement type="firstRowStripe" dxfId="27"/>
      <tableStyleElement type="secondRowStripe" dxfId="26"/>
    </tableStyle>
    <tableStyle name="IB-style" pivot="0" count="3" xr9:uid="{00000000-0011-0000-FFFF-FFFF0D000000}">
      <tableStyleElement type="headerRow" dxfId="25"/>
      <tableStyleElement type="firstRowStripe" dxfId="24"/>
      <tableStyleElement type="secondRowStripe" dxfId="23"/>
    </tableStyle>
    <tableStyle name="IB-style 2" pivot="0" count="3" xr9:uid="{00000000-0011-0000-FFFF-FFFF0E000000}">
      <tableStyleElement type="headerRow" dxfId="22"/>
      <tableStyleElement type="firstRowStripe" dxfId="21"/>
      <tableStyleElement type="secondRowStripe" dxfId="20"/>
    </tableStyle>
    <tableStyle name="FortuneoZeroCourtage-style" pivot="0" count="3" xr9:uid="{00000000-0011-0000-FFFF-FFFF0F000000}">
      <tableStyleElement type="headerRow" dxfId="19"/>
      <tableStyleElement type="firstRowStripe" dxfId="18"/>
      <tableStyleElement type="secondRowStripe" dxfId="17"/>
    </tableStyle>
    <tableStyle name="FortuneoZeroCourtage-style 2" pivot="0" count="3" xr9:uid="{00000000-0011-0000-FFFF-FFFF10000000}">
      <tableStyleElement type="headerRow" dxfId="16"/>
      <tableStyleElement type="firstRowStripe" dxfId="15"/>
      <tableStyleElement type="secondRowStripe" dxfId="14"/>
    </tableStyle>
    <tableStyle name="FortuneoOptimum-style" pivot="0" count="3" xr9:uid="{00000000-0011-0000-FFFF-FFFF11000000}">
      <tableStyleElement type="headerRow" dxfId="13"/>
      <tableStyleElement type="firstRowStripe" dxfId="12"/>
      <tableStyleElement type="secondRowStripe" dxfId="11"/>
    </tableStyle>
    <tableStyle name="FortuneoOptimum-style 2" pivot="0" count="3" xr9:uid="{00000000-0011-0000-FFFF-FFFF12000000}">
      <tableStyleElement type="headerRow" dxfId="10"/>
      <tableStyleElement type="firstRowStripe"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5D3080D-AF43-4000-B36C-19812470C6A7}" name="Table_1021" displayName="Table_1021" ref="A1:C2" headerRowCount="0">
  <tableColumns count="3">
    <tableColumn id="1" xr3:uid="{4D68AAC1-B109-472B-9020-AF49FBEA6D5B}" name="Column1"/>
    <tableColumn id="2" xr3:uid="{EEA6BEEC-7B69-4FFC-AADF-CDFF826C7BA1}" name="Column2"/>
    <tableColumn id="3" xr3:uid="{3A103588-EE91-42D8-B192-D23E2E620783}" name="Column3"/>
  </tableColumns>
  <tableStyleInfo name="SaxoBanque-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F1:H4">
  <tableColumns count="3">
    <tableColumn id="1" xr3:uid="{00000000-0010-0000-0700-000001000000}" name="USD"/>
    <tableColumn id="2" xr3:uid="{00000000-0010-0000-0700-000002000000}" name="Euros"/>
    <tableColumn id="3" xr3:uid="{00000000-0010-0000-0700-000003000000}" name="Dollars"/>
  </tableColumns>
  <tableStyleInfo name="DeGiro-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1:C2" headerRowCount="0">
  <tableColumns count="3">
    <tableColumn id="1" xr3:uid="{00000000-0010-0000-0800-000001000000}" name="Column1"/>
    <tableColumn id="2" xr3:uid="{00000000-0010-0000-0800-000002000000}" name="Column2"/>
    <tableColumn id="3" xr3:uid="{00000000-0010-0000-0800-000003000000}" name="Column3"/>
  </tableColumns>
  <tableStyleInfo name="DeGiro-style 2" showFirstColumn="1" showLastColumn="1" showRowStripes="1" showColumnStripes="0"/>
  <extLst>
    <ext uri="GoogleSheetsCustomDataVersion1">
      <go:sheetsCustomData xmlns:go="http://customooxmlschemas.google.com/" headerRowCount="1"/>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1:C2" headerRowCount="0">
  <tableColumns count="3">
    <tableColumn id="1" xr3:uid="{00000000-0010-0000-0900-000001000000}" name="Column1"/>
    <tableColumn id="2" xr3:uid="{00000000-0010-0000-0900-000002000000}" name="Column2"/>
    <tableColumn id="3" xr3:uid="{00000000-0010-0000-0900-000003000000}" name="Column3"/>
  </tableColumns>
  <tableStyleInfo name="SaxoBanque-style" showFirstColumn="1" showLastColumn="1" showRowStripes="1" showColumnStripes="0"/>
  <extLst>
    <ext uri="GoogleSheetsCustomDataVersion1">
      <go:sheetsCustomData xmlns:go="http://customooxmlschemas.google.com/" headerRowCount="1"/>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F1:K4" headerRowCount="0">
  <tableColumns count="6">
    <tableColumn id="1" xr3:uid="{00000000-0010-0000-0A00-000001000000}" name="Column1"/>
    <tableColumn id="2" xr3:uid="{00000000-0010-0000-0A00-000002000000}" name="Column2"/>
    <tableColumn id="3" xr3:uid="{00000000-0010-0000-0A00-000003000000}" name="Column3"/>
    <tableColumn id="4" xr3:uid="{00000000-0010-0000-0A00-000004000000}" name="Column4"/>
    <tableColumn id="5" xr3:uid="{00000000-0010-0000-0A00-000005000000}" name="Column5"/>
    <tableColumn id="6" xr3:uid="{00000000-0010-0000-0A00-000006000000}" name="Column6"/>
  </tableColumns>
  <tableStyleInfo name="SaxoBanque-style 2" showFirstColumn="1" showLastColumn="1" showRowStripes="1" showColumnStripes="0"/>
  <extLst>
    <ext uri="GoogleSheetsCustomDataVersion1">
      <go:sheetsCustomData xmlns:go="http://customooxmlschemas.google.com/" headerRowCount="1"/>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1:C2" headerRowCount="0">
  <tableColumns count="3">
    <tableColumn id="1" xr3:uid="{00000000-0010-0000-0B00-000001000000}" name="Column1"/>
    <tableColumn id="2" xr3:uid="{00000000-0010-0000-0B00-000002000000}" name="Column2"/>
    <tableColumn id="3" xr3:uid="{00000000-0010-0000-0B00-000003000000}" name="Column3"/>
  </tableColumns>
  <tableStyleInfo name="BourseDirect-style" showFirstColumn="1" showLastColumn="1" showRowStripes="1" showColumnStripes="0"/>
  <extLst>
    <ext uri="GoogleSheetsCustomDataVersion1">
      <go:sheetsCustomData xmlns:go="http://customooxmlschemas.google.com/" headerRowCount="1"/>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G1:K4" headerRowCount="0">
  <tableColumns count="5">
    <tableColumn id="1" xr3:uid="{00000000-0010-0000-0C00-000001000000}" name="Column1"/>
    <tableColumn id="2" xr3:uid="{00000000-0010-0000-0C00-000002000000}" name="Column2"/>
    <tableColumn id="3" xr3:uid="{00000000-0010-0000-0C00-000003000000}" name="Column3"/>
    <tableColumn id="4" xr3:uid="{00000000-0010-0000-0C00-000004000000}" name="Column4"/>
    <tableColumn id="5" xr3:uid="{00000000-0010-0000-0C00-000005000000}" name="Column5"/>
  </tableColumns>
  <tableStyleInfo name="BourseDirect-style 2" showFirstColumn="1" showLastColumn="1" showRowStripes="1" showColumnStripes="0"/>
  <extLst>
    <ext uri="GoogleSheetsCustomDataVersion1">
      <go:sheetsCustomData xmlns:go="http://customooxmlschemas.google.com/" headerRowCount="1"/>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1:C2" headerRowCount="0">
  <tableColumns count="3">
    <tableColumn id="1" xr3:uid="{00000000-0010-0000-0D00-000001000000}" name="Column1"/>
    <tableColumn id="2" xr3:uid="{00000000-0010-0000-0D00-000002000000}" name="Column2"/>
    <tableColumn id="3" xr3:uid="{00000000-0010-0000-0D00-000003000000}" name="Column3"/>
  </tableColumns>
  <tableStyleInfo name="IB-style" showFirstColumn="1" showLastColumn="1" showRowStripes="1" showColumnStripes="0"/>
  <extLst>
    <ext uri="GoogleSheetsCustomDataVersion1">
      <go:sheetsCustomData xmlns:go="http://customooxmlschemas.google.com/" headerRowCount="1"/>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F1:H4">
  <tableColumns count="3">
    <tableColumn id="1" xr3:uid="{00000000-0010-0000-0E00-000001000000}" name="USD"/>
    <tableColumn id="2" xr3:uid="{00000000-0010-0000-0E00-000002000000}" name="Euros"/>
    <tableColumn id="3" xr3:uid="{00000000-0010-0000-0E00-000003000000}" name="Dollars"/>
  </tableColumns>
  <tableStyleInfo name="IB-style 2"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1:B2" headerRowCount="0">
  <tableColumns count="2">
    <tableColumn id="1" xr3:uid="{00000000-0010-0000-0F00-000001000000}" name="Column1"/>
    <tableColumn id="2" xr3:uid="{00000000-0010-0000-0F00-000002000000}" name="Column2"/>
  </tableColumns>
  <tableStyleInfo name="FortuneoZeroCourtage-style" showFirstColumn="1" showLastColumn="1" showRowStripes="1" showColumnStripes="0"/>
  <extLst>
    <ext uri="GoogleSheetsCustomDataVersion1">
      <go:sheetsCustomData xmlns:go="http://customooxmlschemas.google.com/" headerRowCount="1"/>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G1:K4" headerRowCount="0">
  <tableColumns count="5">
    <tableColumn id="1" xr3:uid="{00000000-0010-0000-1000-000001000000}" name="Column1"/>
    <tableColumn id="2" xr3:uid="{00000000-0010-0000-1000-000002000000}" name="Column2"/>
    <tableColumn id="3" xr3:uid="{00000000-0010-0000-1000-000003000000}" name="Column3"/>
    <tableColumn id="4" xr3:uid="{00000000-0010-0000-1000-000004000000}" name="Column4"/>
    <tableColumn id="5" xr3:uid="{00000000-0010-0000-1000-000005000000}" name="Column5"/>
  </tableColumns>
  <tableStyleInfo name="FortuneoZeroCourtage-style 2"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AE05C25-F680-4442-8D8C-474F1073FC22}" name="Table_1122" displayName="Table_1122" ref="F1:K4" headerRowCount="0">
  <tableColumns count="6">
    <tableColumn id="1" xr3:uid="{244E406C-6A69-42F0-8364-DB739B37C9BD}" name="Column1"/>
    <tableColumn id="2" xr3:uid="{ABEAF2D1-A70B-4491-92D2-AA2B61F6C633}" name="Column2"/>
    <tableColumn id="3" xr3:uid="{6F3235CB-D3B5-4731-9A49-B3EDE79A2C74}" name="Column3"/>
    <tableColumn id="4" xr3:uid="{D71E0653-AB9C-485B-8B13-2E6742BBC477}" name="Column4"/>
    <tableColumn id="5" xr3:uid="{921941A4-6CEF-482D-B369-8586DBDA8294}" name="Column5"/>
    <tableColumn id="6" xr3:uid="{2D95D281-75E4-491A-9E3C-8272C561D522}" name="Column6"/>
  </tableColumns>
  <tableStyleInfo name="SaxoBanque-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1:C2" headerRowCount="0">
  <tableColumns count="3">
    <tableColumn id="1" xr3:uid="{00000000-0010-0000-1100-000001000000}" name="Column1"/>
    <tableColumn id="2" xr3:uid="{00000000-0010-0000-1100-000002000000}" name="Column2"/>
    <tableColumn id="3" xr3:uid="{00000000-0010-0000-1100-000003000000}" name="Column3"/>
  </tableColumns>
  <tableStyleInfo name="FortuneoOptimum-style" showFirstColumn="1" showLastColumn="1" showRowStripes="1" showColumnStripes="0"/>
  <extLst>
    <ext uri="GoogleSheetsCustomDataVersion1">
      <go:sheetsCustomData xmlns:go="http://customooxmlschemas.google.com/" headerRowCount="1"/>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G1:I4" headerRowCount="0">
  <tableColumns count="3">
    <tableColumn id="1" xr3:uid="{00000000-0010-0000-1200-000001000000}" name="Column1"/>
    <tableColumn id="2" xr3:uid="{00000000-0010-0000-1200-000002000000}" name="Column2"/>
    <tableColumn id="3" xr3:uid="{00000000-0010-0000-1200-000003000000}" name="Column3"/>
  </tableColumns>
  <tableStyleInfo name="FortuneoOptimum-style 2"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G1:K4" headerRowCount="0">
  <tableColumns count="5">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s>
  <tableStyleInfo name="BoursoClassic-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C2" headerRowCount="0">
  <tableColumns count="3">
    <tableColumn id="1" xr3:uid="{00000000-0010-0000-0100-000001000000}" name="Column1"/>
    <tableColumn id="2" xr3:uid="{00000000-0010-0000-0100-000002000000}" name="Column2"/>
    <tableColumn id="3" xr3:uid="{00000000-0010-0000-0100-000003000000}" name="Column3"/>
  </tableColumns>
  <tableStyleInfo name="BoursoClassic-style 2"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G1:K4" headerRowCount="0">
  <tableColumns count="5">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s>
  <tableStyleInfo name="BoursoDecouverte-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1:B2" headerRowCount="0">
  <tableColumns count="2">
    <tableColumn id="1" xr3:uid="{00000000-0010-0000-0300-000001000000}" name="Column1"/>
    <tableColumn id="2" xr3:uid="{00000000-0010-0000-0300-000002000000}" name="Column2"/>
  </tableColumns>
  <tableStyleInfo name="BoursoDecouverte-style 2"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F1:H4">
  <tableColumns count="3">
    <tableColumn id="1" xr3:uid="{00000000-0010-0000-0400-000001000000}" name="USD"/>
    <tableColumn id="2" xr3:uid="{00000000-0010-0000-0400-000002000000}" name="Euros"/>
    <tableColumn id="3" xr3:uid="{00000000-0010-0000-0400-000003000000}" name="Dollars"/>
  </tableColumns>
  <tableStyleInfo name="Lynx-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C2" headerRowCount="0">
  <tableColumns count="3">
    <tableColumn id="1" xr3:uid="{00000000-0010-0000-0500-000001000000}" name="Column1"/>
    <tableColumn id="2" xr3:uid="{00000000-0010-0000-0500-000002000000}" name="Column2"/>
    <tableColumn id="3" xr3:uid="{00000000-0010-0000-0500-000003000000}" name="Column3"/>
  </tableColumns>
  <tableStyleInfo name="Lynx-style 2" showFirstColumn="1" showLastColumn="1" showRowStripes="1" showColumnStripes="0"/>
  <extLst>
    <ext uri="GoogleSheetsCustomDataVersion1">
      <go:sheetsCustomData xmlns:go="http://customooxmlschemas.google.com/" headerRowCount="1"/>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1:E5" headerRowCount="0" headerRowDxfId="7" dataDxfId="6" totalsRowDxfId="5">
  <tableColumns count="5">
    <tableColumn id="1" xr3:uid="{00000000-0010-0000-0600-000001000000}" name="Column1" dataDxfId="4"/>
    <tableColumn id="2" xr3:uid="{00000000-0010-0000-0600-000002000000}" name="Column2" dataDxfId="3"/>
    <tableColumn id="3" xr3:uid="{00000000-0010-0000-0600-000003000000}" name="Column3" dataDxfId="2"/>
    <tableColumn id="4" xr3:uid="{00000000-0010-0000-0600-000004000000}" name="Column4" dataDxfId="1"/>
    <tableColumn id="5" xr3:uid="{00000000-0010-0000-0600-000005000000}" name="Column5" dataDxfId="0"/>
  </tableColumns>
  <tableStyleInfo name="OperationsUSD-style" showFirstColumn="1" showLastColumn="1"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table" Target="../tables/table14.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table" Target="../tables/table16.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table" Target="../tables/table18.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table" Target="../tables/table2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97757-1BD2-4847-9D54-F55C09D87B92}">
  <sheetPr>
    <outlinePr summaryBelow="0" summaryRight="0"/>
  </sheetPr>
  <dimension ref="A1:V41"/>
  <sheetViews>
    <sheetView workbookViewId="0">
      <selection activeCell="J4" sqref="J4"/>
    </sheetView>
  </sheetViews>
  <sheetFormatPr baseColWidth="10" defaultColWidth="14.4609375" defaultRowHeight="15.75" customHeight="1"/>
  <cols>
    <col min="1" max="1" width="28.15234375" style="94" customWidth="1"/>
    <col min="2" max="2" width="14.4609375" style="94" customWidth="1"/>
    <col min="3" max="3" width="8.4609375" style="94" customWidth="1"/>
    <col min="4" max="16384" width="14.4609375" style="94"/>
  </cols>
  <sheetData>
    <row r="1" spans="1:22" ht="15.45">
      <c r="A1" s="6"/>
      <c r="B1" s="7" t="s">
        <v>0</v>
      </c>
      <c r="C1" s="7"/>
      <c r="D1" s="8"/>
      <c r="E1" s="8"/>
      <c r="F1" s="6" t="s">
        <v>17</v>
      </c>
      <c r="G1" s="7" t="s">
        <v>36</v>
      </c>
      <c r="H1" s="7" t="s">
        <v>37</v>
      </c>
      <c r="I1" s="7"/>
      <c r="J1" s="9"/>
      <c r="K1" s="9"/>
      <c r="M1" s="8"/>
      <c r="N1" s="8"/>
      <c r="O1" s="8"/>
      <c r="P1" s="8"/>
      <c r="Q1" s="8"/>
      <c r="R1" s="8"/>
      <c r="S1" s="8"/>
      <c r="T1" s="8"/>
      <c r="U1" s="8"/>
      <c r="V1" s="8"/>
    </row>
    <row r="2" spans="1:22" ht="15.45">
      <c r="A2" s="10" t="s">
        <v>18</v>
      </c>
      <c r="B2" s="13">
        <f>IF(OperationsEuros!$B$2="Euronext (Paris, Bruxelles, Amstedam)",SUM(C7:C11),C13)</f>
        <v>5</v>
      </c>
      <c r="C2" s="12" t="e">
        <f>B2/#REF!</f>
        <v>#REF!</v>
      </c>
      <c r="F2" s="10" t="s">
        <v>18</v>
      </c>
      <c r="G2" s="13">
        <f>H2/TauxChange!$B$1</f>
        <v>0</v>
      </c>
      <c r="H2" s="27">
        <v>0</v>
      </c>
      <c r="I2" s="12">
        <f t="shared" ref="I2:I4" si="0">G2/$G$4</f>
        <v>0</v>
      </c>
      <c r="J2" s="14"/>
      <c r="K2" s="14"/>
    </row>
    <row r="3" spans="1:22" ht="15.45">
      <c r="F3" s="15" t="s">
        <v>19</v>
      </c>
      <c r="G3" s="29">
        <f>K3-K4</f>
        <v>6.1983471074381669</v>
      </c>
      <c r="H3" s="17"/>
      <c r="I3" s="17">
        <f t="shared" si="0"/>
        <v>1</v>
      </c>
      <c r="J3" s="14">
        <f>TauxChange!$B$1/(1+0.15/100)</f>
        <v>1.2081877184223664</v>
      </c>
      <c r="K3" s="18">
        <f>OperationsUSD!B4/J3</f>
        <v>4138.4297520661157</v>
      </c>
    </row>
    <row r="4" spans="1:22" ht="15.45">
      <c r="F4" s="15" t="s">
        <v>20</v>
      </c>
      <c r="G4" s="29">
        <f>G2+G3</f>
        <v>6.1983471074381669</v>
      </c>
      <c r="H4" s="14"/>
      <c r="I4" s="14">
        <f t="shared" si="0"/>
        <v>1</v>
      </c>
      <c r="J4" s="19">
        <f>TauxChange!$B$1</f>
        <v>1.21</v>
      </c>
      <c r="K4" s="20">
        <f>OperationsUSD!B4/J4</f>
        <v>4132.2314049586776</v>
      </c>
    </row>
    <row r="5" spans="1:22" ht="15.75" customHeight="1">
      <c r="A5" s="21" t="s">
        <v>38</v>
      </c>
    </row>
    <row r="6" spans="1:22" ht="15.75" customHeight="1">
      <c r="A6" s="21" t="s">
        <v>21</v>
      </c>
      <c r="B6" s="21" t="s">
        <v>50</v>
      </c>
      <c r="C6" s="21" t="s">
        <v>51</v>
      </c>
      <c r="E6" s="21" t="s">
        <v>23</v>
      </c>
      <c r="H6" s="31">
        <f>IF(OperationsUSD!$B$2&lt;10,MAX(8,0.02*OperationsUSD!$B$2),MAX(OperationsUSD!B4*0.08/100,8))</f>
        <v>8</v>
      </c>
      <c r="I6" s="94">
        <f>IF(G6&gt;OperationsUSD!$B$4*1/100,OperationsUSD!$B$4*1/100,G6)</f>
        <v>0</v>
      </c>
    </row>
    <row r="7" spans="1:22" ht="15.75" customHeight="1">
      <c r="A7" s="21" t="s">
        <v>22</v>
      </c>
      <c r="B7" s="94">
        <f>IF(OperationsEuros!$B$3&lt;=1000,2.5,0)</f>
        <v>0</v>
      </c>
      <c r="C7" s="94">
        <f t="shared" ref="C7:C11" si="1">B7</f>
        <v>0</v>
      </c>
    </row>
    <row r="8" spans="1:22" ht="15.75" customHeight="1">
      <c r="A8" s="21" t="s">
        <v>52</v>
      </c>
      <c r="B8" s="94">
        <f>IF(OperationsEuros!$B$3&lt;=1000,0,IF(OperationsEuros!$B$3&lt;=5000,5,0))</f>
        <v>5</v>
      </c>
      <c r="C8" s="94">
        <f t="shared" si="1"/>
        <v>5</v>
      </c>
    </row>
    <row r="9" spans="1:22" ht="15.75" customHeight="1">
      <c r="A9" s="21" t="s">
        <v>53</v>
      </c>
      <c r="B9" s="94">
        <f>IF(OperationsEuros!$B$3&lt;=5000,0,IF(OperationsEuros!$B$3&lt;=7500,7.5,0))</f>
        <v>0</v>
      </c>
      <c r="C9" s="94">
        <f t="shared" si="1"/>
        <v>0</v>
      </c>
      <c r="H9" s="31">
        <f>OperationsUSD!B4*0.08/100</f>
        <v>4</v>
      </c>
    </row>
    <row r="10" spans="1:22" ht="15.75" customHeight="1">
      <c r="A10" s="21" t="s">
        <v>54</v>
      </c>
      <c r="B10" s="94">
        <f>IF(OperationsEuros!$B$3&lt;=7500,0,IF(OperationsEuros!$B$3&lt;=10000,10,0))</f>
        <v>0</v>
      </c>
      <c r="C10" s="94">
        <f t="shared" si="1"/>
        <v>0</v>
      </c>
    </row>
    <row r="11" spans="1:22" ht="15.75" customHeight="1">
      <c r="A11" s="21" t="s">
        <v>55</v>
      </c>
      <c r="B11" s="94">
        <f>IF(OperationsEuros!$B$3&lt;=10000,0,OperationsEuros!$B$3*0.1/100)</f>
        <v>0</v>
      </c>
      <c r="C11" s="94">
        <f t="shared" si="1"/>
        <v>0</v>
      </c>
    </row>
    <row r="13" spans="1:22" ht="15.75" customHeight="1">
      <c r="A13" s="21" t="s">
        <v>40</v>
      </c>
      <c r="C13" s="21">
        <f>C17+C21+C25+C29+C33+C37+C41</f>
        <v>0</v>
      </c>
    </row>
    <row r="15" spans="1:22" ht="15.75" customHeight="1">
      <c r="A15" s="21" t="s">
        <v>25</v>
      </c>
    </row>
    <row r="16" spans="1:22" ht="15.75" customHeight="1">
      <c r="A16" s="21" t="s">
        <v>23</v>
      </c>
      <c r="B16" s="21" t="s">
        <v>26</v>
      </c>
      <c r="C16" s="21" t="s">
        <v>51</v>
      </c>
    </row>
    <row r="17" spans="1:3" ht="15.75" customHeight="1">
      <c r="A17" s="94">
        <f>IF(OperationsEuros!$B$2="Allemagne",OperationsEuros!$B$3*0.12/100,0)</f>
        <v>0</v>
      </c>
      <c r="B17" s="94">
        <f>IF(OperationsEuros!$B$2&lt;&gt;"Allemagne",0,IF(A17&lt;12,12,A17))</f>
        <v>0</v>
      </c>
      <c r="C17" s="94">
        <f>B17</f>
        <v>0</v>
      </c>
    </row>
    <row r="19" spans="1:3" ht="15.75" customHeight="1">
      <c r="A19" s="21" t="s">
        <v>28</v>
      </c>
    </row>
    <row r="20" spans="1:3" ht="15.75" customHeight="1">
      <c r="A20" s="21" t="s">
        <v>23</v>
      </c>
      <c r="B20" s="21" t="s">
        <v>26</v>
      </c>
      <c r="C20" s="21" t="s">
        <v>51</v>
      </c>
    </row>
    <row r="21" spans="1:3" ht="15.75" customHeight="1">
      <c r="A21" s="94">
        <f>IF(OperationsEuros!$B$2="Espagne",OperationsEuros!$B$3*0.12/100,0)</f>
        <v>0</v>
      </c>
      <c r="B21" s="94">
        <f>IF(OperationsEuros!$B$2&lt;&gt;"Espagne",0,IF(A21&lt;12,12,A21))</f>
        <v>0</v>
      </c>
      <c r="C21" s="94">
        <f>B21</f>
        <v>0</v>
      </c>
    </row>
    <row r="23" spans="1:3" ht="15.75" customHeight="1">
      <c r="A23" s="21" t="s">
        <v>29</v>
      </c>
    </row>
    <row r="24" spans="1:3" ht="15.75" customHeight="1">
      <c r="A24" s="21" t="s">
        <v>23</v>
      </c>
      <c r="B24" s="21" t="s">
        <v>26</v>
      </c>
      <c r="C24" s="21" t="s">
        <v>51</v>
      </c>
    </row>
    <row r="25" spans="1:3" ht="15.75" customHeight="1">
      <c r="A25" s="94">
        <f>IF(OperationsEuros!$B$2="Suisse",OperationsEuros!$B$3*0.2/100,0)</f>
        <v>0</v>
      </c>
      <c r="B25" s="94">
        <f>IF(OperationsEuros!$B$2&lt;&gt;"Suisse",0,IF(A25&lt;18,18,A25))</f>
        <v>0</v>
      </c>
      <c r="C25" s="94">
        <f>B25</f>
        <v>0</v>
      </c>
    </row>
    <row r="27" spans="1:3" ht="12.45">
      <c r="A27" s="21" t="s">
        <v>30</v>
      </c>
    </row>
    <row r="28" spans="1:3" ht="12.45">
      <c r="A28" s="21" t="s">
        <v>23</v>
      </c>
      <c r="B28" s="21" t="s">
        <v>26</v>
      </c>
      <c r="C28" s="21" t="s">
        <v>51</v>
      </c>
    </row>
    <row r="29" spans="1:3" ht="12.45">
      <c r="A29" s="94">
        <f>IF(OperationsEuros!$B$2="Portugal",SUM(B7:B11),0)</f>
        <v>0</v>
      </c>
      <c r="B29" s="94">
        <f t="shared" ref="B29:C29" si="2">A29</f>
        <v>0</v>
      </c>
      <c r="C29" s="94">
        <f t="shared" si="2"/>
        <v>0</v>
      </c>
    </row>
    <row r="31" spans="1:3" ht="12.45">
      <c r="A31" s="21" t="s">
        <v>31</v>
      </c>
    </row>
    <row r="32" spans="1:3" ht="12.45">
      <c r="A32" s="21" t="s">
        <v>23</v>
      </c>
      <c r="B32" s="21" t="s">
        <v>26</v>
      </c>
      <c r="C32" s="21" t="s">
        <v>51</v>
      </c>
    </row>
    <row r="33" spans="1:3" ht="12.45">
      <c r="A33" s="94">
        <f>IF(OperationsEuros!$B$2="Italie",OperationsEuros!$B$3*0.12/100,0)</f>
        <v>0</v>
      </c>
      <c r="B33" s="94">
        <f>IF(OperationsEuros!$B$2&lt;&gt;"Italie",0,IF(A33&lt;12,12,A33))</f>
        <v>0</v>
      </c>
      <c r="C33" s="94">
        <f>B33</f>
        <v>0</v>
      </c>
    </row>
    <row r="35" spans="1:3" ht="12.45">
      <c r="A35" s="21" t="s">
        <v>32</v>
      </c>
    </row>
    <row r="36" spans="1:3" ht="12.45">
      <c r="A36" s="21" t="s">
        <v>23</v>
      </c>
      <c r="B36" s="21" t="s">
        <v>26</v>
      </c>
      <c r="C36" s="21" t="s">
        <v>51</v>
      </c>
    </row>
    <row r="37" spans="1:3" ht="12.45">
      <c r="A37" s="94">
        <f>IF(OperationsEuros!$B$2="Irlande",OperationsEuros!$B$3*0.12/100,0)</f>
        <v>0</v>
      </c>
      <c r="B37" s="94">
        <f>IF(OperationsEuros!$B$2&lt;&gt;"Irlande",0,IF(A37&lt;12,12,A37))</f>
        <v>0</v>
      </c>
      <c r="C37" s="94">
        <f>B37</f>
        <v>0</v>
      </c>
    </row>
    <row r="39" spans="1:3" ht="12.45">
      <c r="A39" s="21" t="s">
        <v>33</v>
      </c>
    </row>
    <row r="40" spans="1:3" ht="12.45">
      <c r="A40" s="21" t="s">
        <v>23</v>
      </c>
      <c r="B40" s="21" t="s">
        <v>26</v>
      </c>
      <c r="C40" s="21" t="s">
        <v>51</v>
      </c>
    </row>
    <row r="41" spans="1:3" ht="12.45">
      <c r="A41" s="94">
        <f>IF(OperationsEuros!$B$2="Autriche",OperationsEuros!$B$3*0.12/100,0)</f>
        <v>0</v>
      </c>
      <c r="B41" s="94">
        <f>IF(OperationsEuros!$B$2&lt;&gt;"Autriche",0,IF(A41&lt;12,12,A41))</f>
        <v>0</v>
      </c>
      <c r="C41" s="94">
        <f>B41</f>
        <v>0</v>
      </c>
    </row>
  </sheetData>
  <pageMargins left="0.7" right="0.7" top="0.75" bottom="0.75" header="0.3" footer="0.3"/>
  <tableParts count="2">
    <tablePart r:id="rId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7"/>
  <sheetViews>
    <sheetView workbookViewId="0"/>
  </sheetViews>
  <sheetFormatPr baseColWidth="10" defaultColWidth="14.4609375" defaultRowHeight="15.75" customHeight="1"/>
  <sheetData>
    <row r="1" spans="1:1" ht="15.75" customHeight="1">
      <c r="A1" s="21" t="s">
        <v>2</v>
      </c>
    </row>
    <row r="2" spans="1:1" ht="15.75" customHeight="1">
      <c r="A2" s="21" t="s">
        <v>73</v>
      </c>
    </row>
    <row r="3" spans="1:1" ht="15.75" customHeight="1">
      <c r="A3" s="21" t="s">
        <v>28</v>
      </c>
    </row>
    <row r="4" spans="1:1" ht="15.75" customHeight="1">
      <c r="A4" s="21" t="s">
        <v>30</v>
      </c>
    </row>
    <row r="5" spans="1:1" ht="15.75" customHeight="1">
      <c r="A5" s="21" t="s">
        <v>32</v>
      </c>
    </row>
    <row r="6" spans="1:1" ht="15.75" customHeight="1">
      <c r="A6" s="21" t="s">
        <v>31</v>
      </c>
    </row>
    <row r="7" spans="1:1" ht="15.75" customHeight="1">
      <c r="A7" s="21" t="s">
        <v>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U42"/>
  <sheetViews>
    <sheetView workbookViewId="0">
      <selection activeCell="I6" sqref="I6"/>
    </sheetView>
  </sheetViews>
  <sheetFormatPr baseColWidth="10" defaultColWidth="14.4609375" defaultRowHeight="15.75" customHeight="1"/>
  <cols>
    <col min="1" max="1" width="30.4609375" customWidth="1"/>
    <col min="2" max="2" width="14.4609375" customWidth="1"/>
    <col min="3" max="3" width="8.4609375" customWidth="1"/>
  </cols>
  <sheetData>
    <row r="1" spans="1:21" ht="15.45">
      <c r="A1" s="6"/>
      <c r="B1" s="7" t="s">
        <v>0</v>
      </c>
      <c r="C1" s="7"/>
      <c r="D1" s="8"/>
      <c r="E1" s="8"/>
      <c r="F1" s="8"/>
      <c r="G1" s="6" t="s">
        <v>17</v>
      </c>
      <c r="H1" s="7" t="s">
        <v>0</v>
      </c>
      <c r="I1" s="7"/>
      <c r="J1" s="9"/>
      <c r="K1" s="9"/>
      <c r="L1" s="8"/>
      <c r="M1" s="8"/>
      <c r="N1" s="8"/>
      <c r="O1" s="8"/>
      <c r="P1" s="8"/>
      <c r="Q1" s="8"/>
      <c r="R1" s="8"/>
      <c r="S1" s="8"/>
      <c r="T1" s="8"/>
      <c r="U1" s="8"/>
    </row>
    <row r="2" spans="1:21" ht="15.45">
      <c r="A2" s="10" t="s">
        <v>18</v>
      </c>
      <c r="B2" s="11">
        <f>IF(OperationsEuros!$B$2="Euronext (Paris, Bruxelles, Amstedam)",SUM(B9:B14),E18)</f>
        <v>4.5</v>
      </c>
      <c r="C2" s="12" t="e">
        <f>B2/#REF!</f>
        <v>#REF!</v>
      </c>
      <c r="G2" s="10" t="s">
        <v>18</v>
      </c>
      <c r="H2" s="13">
        <f>I6</f>
        <v>8.5</v>
      </c>
      <c r="I2" s="12">
        <f t="shared" ref="I2:I4" si="0">H2/$H$4</f>
        <v>0.71998599929999707</v>
      </c>
      <c r="J2" s="14"/>
      <c r="K2" s="14"/>
    </row>
    <row r="3" spans="1:21" ht="15.45">
      <c r="G3" s="15" t="s">
        <v>19</v>
      </c>
      <c r="H3" s="16">
        <f>K3-K4</f>
        <v>3.305785123966416</v>
      </c>
      <c r="I3" s="17">
        <f t="shared" si="0"/>
        <v>0.28001400070000293</v>
      </c>
      <c r="J3" s="14">
        <f>TauxChange!$B$1/(1+0.08/100)</f>
        <v>1.2090327737809754</v>
      </c>
      <c r="K3" s="18">
        <f>OperationsUSD!B4/J3</f>
        <v>4135.537190082644</v>
      </c>
    </row>
    <row r="4" spans="1:21" ht="15.45">
      <c r="G4" s="15" t="s">
        <v>20</v>
      </c>
      <c r="H4" s="16">
        <f>H2+H3</f>
        <v>11.805785123966416</v>
      </c>
      <c r="I4" s="14">
        <f t="shared" si="0"/>
        <v>1</v>
      </c>
      <c r="J4" s="19">
        <f>TauxChange!$B$1</f>
        <v>1.21</v>
      </c>
      <c r="K4" s="20">
        <f>OperationsUSD!B4/J4</f>
        <v>4132.2314049586776</v>
      </c>
    </row>
    <row r="5" spans="1:21" ht="15.75" customHeight="1">
      <c r="B5" s="21">
        <v>1000</v>
      </c>
    </row>
    <row r="6" spans="1:21" ht="15.75" customHeight="1">
      <c r="F6" s="21" t="s">
        <v>23</v>
      </c>
      <c r="G6">
        <f>IF(OperationsUSD!$B$5&lt;10000,8.5,OperationsUSD!$B$5*0.09/100)</f>
        <v>8.5</v>
      </c>
      <c r="H6">
        <f>G6</f>
        <v>8.5</v>
      </c>
      <c r="I6">
        <f>H6</f>
        <v>8.5</v>
      </c>
    </row>
    <row r="7" spans="1:21" ht="15.75" customHeight="1">
      <c r="A7" s="21" t="s">
        <v>21</v>
      </c>
      <c r="B7" s="21" t="s">
        <v>38</v>
      </c>
      <c r="F7" s="21" t="s">
        <v>74</v>
      </c>
      <c r="G7">
        <f>OperationsUSD!C4*0.02/100</f>
        <v>0</v>
      </c>
      <c r="H7">
        <f>IF(G7&lt;2,2,G7)</f>
        <v>2</v>
      </c>
    </row>
    <row r="8" spans="1:21" ht="15.75" customHeight="1">
      <c r="A8" s="21"/>
    </row>
    <row r="9" spans="1:21" ht="15.75" customHeight="1">
      <c r="A9" s="21" t="s">
        <v>75</v>
      </c>
      <c r="B9">
        <f>IF(OperationsEuros!$B$3&lt;=198,OperationsEuros!$B$3*0.5/100,0)</f>
        <v>0</v>
      </c>
    </row>
    <row r="10" spans="1:21" ht="15.75" customHeight="1">
      <c r="A10" s="21" t="s">
        <v>76</v>
      </c>
      <c r="B10">
        <f>IF(OperationsEuros!$B$3&lt;=198,0,IF(OperationsEuros!$B$3&lt;=500,0.99,0))</f>
        <v>0</v>
      </c>
    </row>
    <row r="11" spans="1:21" ht="15.75" customHeight="1">
      <c r="A11" s="21" t="s">
        <v>77</v>
      </c>
      <c r="B11">
        <f>IF(OperationsEuros!$B$3&lt;=500,0,IF(OperationsEuros!$B$3&lt;=1000,1.9,0))</f>
        <v>0</v>
      </c>
    </row>
    <row r="12" spans="1:21" ht="15.75" customHeight="1">
      <c r="A12" s="21" t="s">
        <v>78</v>
      </c>
      <c r="B12">
        <f>IF(OperationsEuros!$B$3&lt;=1000,0,IF(OperationsEuros!$B$3&lt;=2000,2.9,0))</f>
        <v>0</v>
      </c>
    </row>
    <row r="13" spans="1:21" ht="15.75" customHeight="1">
      <c r="A13" s="21" t="s">
        <v>79</v>
      </c>
      <c r="B13">
        <f>IF(OperationsEuros!$B$3&lt;=2000,0,IF(OperationsEuros!$B$3&lt;=4400,3.8,0))</f>
        <v>0</v>
      </c>
    </row>
    <row r="14" spans="1:21" ht="15.75" customHeight="1">
      <c r="A14" s="21" t="s">
        <v>80</v>
      </c>
      <c r="B14" s="23">
        <f>IF(OperationsEuros!$B$3&lt;=4400,0,OperationsEuros!$B$3*0.09/100)</f>
        <v>4.5</v>
      </c>
    </row>
    <row r="16" spans="1:21" ht="15.75" customHeight="1">
      <c r="A16" s="21" t="s">
        <v>25</v>
      </c>
      <c r="E16" s="21" t="s">
        <v>81</v>
      </c>
    </row>
    <row r="17" spans="1:5" ht="15.75" customHeight="1">
      <c r="A17" s="21" t="s">
        <v>23</v>
      </c>
      <c r="B17" s="21" t="s">
        <v>26</v>
      </c>
      <c r="C17" s="21" t="s">
        <v>51</v>
      </c>
    </row>
    <row r="18" spans="1:5" ht="15.75" customHeight="1">
      <c r="A18">
        <f>IF(OperationsEuros!$B$2="Allemagne",OperationsEuros!$B$3*0.15/100,0)</f>
        <v>0</v>
      </c>
      <c r="B18">
        <f>IF(OperationsEuros!$B$2&lt;&gt;"Allemagne",0,IF(A18&lt;15,15,A18))</f>
        <v>0</v>
      </c>
      <c r="C18">
        <f>B18</f>
        <v>0</v>
      </c>
      <c r="D18" s="38"/>
      <c r="E18">
        <f>C18+C22+C26+C30+C34+C38+C42</f>
        <v>0</v>
      </c>
    </row>
    <row r="20" spans="1:5" ht="15.75" customHeight="1">
      <c r="A20" s="21" t="s">
        <v>28</v>
      </c>
    </row>
    <row r="21" spans="1:5" ht="15.75" customHeight="1">
      <c r="A21" s="21" t="s">
        <v>23</v>
      </c>
      <c r="B21" s="21" t="s">
        <v>26</v>
      </c>
      <c r="C21" s="21" t="s">
        <v>51</v>
      </c>
    </row>
    <row r="22" spans="1:5" ht="15.75" customHeight="1">
      <c r="A22">
        <f>IF(OperationsEuros!$B$2="Espagne",OperationsEuros!$B$3*0.2/100,0)</f>
        <v>0</v>
      </c>
      <c r="B22">
        <f>IF(OperationsEuros!$B$2&lt;&gt;"Espagne",0,IF(A22&lt;18,18,A22))</f>
        <v>0</v>
      </c>
      <c r="C22">
        <f>B22</f>
        <v>0</v>
      </c>
    </row>
    <row r="24" spans="1:5" ht="15.75" customHeight="1">
      <c r="A24" s="21" t="s">
        <v>29</v>
      </c>
    </row>
    <row r="25" spans="1:5" ht="15.75" customHeight="1">
      <c r="A25" s="21" t="s">
        <v>23</v>
      </c>
      <c r="B25" s="21" t="s">
        <v>26</v>
      </c>
      <c r="C25" s="21" t="s">
        <v>51</v>
      </c>
    </row>
    <row r="26" spans="1:5" ht="15.75" customHeight="1">
      <c r="A26">
        <f>IF(OperationsEuros!$B$2="Suisse",OperationsEuros!$B$3*0.2/100,0)</f>
        <v>0</v>
      </c>
      <c r="B26">
        <f>IF(OperationsEuros!$B$2&lt;&gt;"Suisse",0,IF(A26&lt;18,18,A26))</f>
        <v>0</v>
      </c>
      <c r="C26">
        <f>B26</f>
        <v>0</v>
      </c>
    </row>
    <row r="28" spans="1:5" ht="12.45">
      <c r="A28" s="21" t="s">
        <v>30</v>
      </c>
    </row>
    <row r="29" spans="1:5" ht="12.45">
      <c r="A29" s="21" t="s">
        <v>23</v>
      </c>
      <c r="B29" s="21" t="s">
        <v>26</v>
      </c>
      <c r="C29" s="21" t="s">
        <v>51</v>
      </c>
    </row>
    <row r="30" spans="1:5" ht="12.45">
      <c r="A30">
        <f>IF(OperationsEuros!$B$2="Portugal",OperationsEuros!$B$3*0.2/100,0)</f>
        <v>0</v>
      </c>
      <c r="B30">
        <f>IF(OperationsEuros!$B$2&lt;&gt;"Portugal",0,IF(A30&lt;18,18,A30))</f>
        <v>0</v>
      </c>
      <c r="C30">
        <f>B30</f>
        <v>0</v>
      </c>
    </row>
    <row r="32" spans="1:5" ht="12.45">
      <c r="A32" s="21" t="s">
        <v>31</v>
      </c>
    </row>
    <row r="33" spans="1:3" ht="12.45">
      <c r="A33" s="21" t="s">
        <v>23</v>
      </c>
      <c r="B33" s="21" t="s">
        <v>26</v>
      </c>
      <c r="C33" s="21" t="s">
        <v>51</v>
      </c>
    </row>
    <row r="34" spans="1:3" ht="12.45">
      <c r="A34">
        <f>IF(OperationsEuros!$B$2="Italie",OperationsEuros!$B$3*0.48/100,0)</f>
        <v>0</v>
      </c>
      <c r="B34">
        <f>IF(OperationsEuros!$B$2&lt;&gt;"Italie",0,IF(A34&lt;41.9,41.9,A34))</f>
        <v>0</v>
      </c>
      <c r="C34">
        <f>B34</f>
        <v>0</v>
      </c>
    </row>
    <row r="36" spans="1:3" ht="12.45">
      <c r="A36" s="21" t="s">
        <v>32</v>
      </c>
    </row>
    <row r="37" spans="1:3" ht="12.45">
      <c r="A37" s="21" t="s">
        <v>23</v>
      </c>
      <c r="B37" s="21" t="s">
        <v>26</v>
      </c>
      <c r="C37" s="21" t="s">
        <v>51</v>
      </c>
    </row>
    <row r="38" spans="1:3" ht="12.45">
      <c r="A38">
        <f>IF(OperationsEuros!$B$2="Irlande",OperationsEuros!$B$3*0.48/100,0)</f>
        <v>0</v>
      </c>
      <c r="B38">
        <f>IF(OperationsEuros!$B$2&lt;&gt;"Irlande",0,IF(A38&lt;41.9,41.9,A38))</f>
        <v>0</v>
      </c>
      <c r="C38">
        <f>B38</f>
        <v>0</v>
      </c>
    </row>
    <row r="40" spans="1:3" ht="12.45">
      <c r="A40" s="21" t="s">
        <v>33</v>
      </c>
    </row>
    <row r="41" spans="1:3" ht="12.45">
      <c r="A41" s="21" t="s">
        <v>23</v>
      </c>
      <c r="B41" s="21" t="s">
        <v>26</v>
      </c>
      <c r="C41" s="21" t="s">
        <v>82</v>
      </c>
    </row>
    <row r="42" spans="1:3" ht="12.45">
      <c r="A42">
        <f>IF(OperationsEuros!$B$2="Autriche",OperationsEuros!$B$3*0.48/100,0)</f>
        <v>0</v>
      </c>
      <c r="B42">
        <f>IF(OperationsEuros!$B$2&lt;&gt;"Autriche",0,IF(A42&lt;41.9,41.9,A42))</f>
        <v>0</v>
      </c>
      <c r="C42">
        <f>B42</f>
        <v>0</v>
      </c>
    </row>
  </sheetData>
  <pageMargins left="0.7" right="0.7" top="0.75" bottom="0.75" header="0.3" footer="0.3"/>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U36"/>
  <sheetViews>
    <sheetView workbookViewId="0">
      <selection activeCell="J3" sqref="J3"/>
    </sheetView>
  </sheetViews>
  <sheetFormatPr baseColWidth="10" defaultColWidth="14.4609375" defaultRowHeight="15.75" customHeight="1"/>
  <cols>
    <col min="1" max="1" width="28.15234375" customWidth="1"/>
    <col min="2" max="2" width="14.4609375" customWidth="1"/>
    <col min="3" max="3" width="8.4609375" customWidth="1"/>
    <col min="6" max="6" width="17.3046875" customWidth="1"/>
  </cols>
  <sheetData>
    <row r="1" spans="1:21" ht="15.45">
      <c r="A1" s="6" t="s">
        <v>36</v>
      </c>
      <c r="B1" s="7" t="s">
        <v>0</v>
      </c>
      <c r="C1" s="7"/>
      <c r="D1" s="8"/>
      <c r="E1" s="8"/>
      <c r="F1" s="6" t="s">
        <v>17</v>
      </c>
      <c r="G1" s="7" t="s">
        <v>36</v>
      </c>
      <c r="H1" s="7" t="s">
        <v>37</v>
      </c>
      <c r="I1" s="7"/>
      <c r="J1" s="9"/>
      <c r="K1" s="9"/>
      <c r="L1" s="8"/>
      <c r="M1" s="8"/>
      <c r="N1" s="8"/>
      <c r="O1" s="8"/>
      <c r="P1" s="8"/>
      <c r="Q1" s="8"/>
      <c r="R1" s="8"/>
      <c r="S1" s="8"/>
      <c r="T1" s="8"/>
      <c r="U1" s="8"/>
    </row>
    <row r="2" spans="1:21" ht="15.45">
      <c r="A2" s="10" t="s">
        <v>18</v>
      </c>
      <c r="B2" s="11">
        <f>IF(OperationsEuros!$B$2="Euronext (Paris, Bruxelles, Amstedam)",B6,B8)</f>
        <v>5</v>
      </c>
      <c r="C2" s="12" t="e">
        <f>B2/#REF!</f>
        <v>#REF!</v>
      </c>
      <c r="F2" s="10" t="s">
        <v>18</v>
      </c>
      <c r="G2" s="13">
        <f>H2/TauxChange!$B$1</f>
        <v>0.82644628099173556</v>
      </c>
      <c r="H2" s="27">
        <f>H6</f>
        <v>1</v>
      </c>
      <c r="I2" s="12">
        <f t="shared" ref="I2:I4" si="0">G2/$G$4</f>
        <v>0.33333333333333331</v>
      </c>
      <c r="J2" s="14"/>
      <c r="K2" s="14"/>
    </row>
    <row r="3" spans="1:21" ht="15.45">
      <c r="F3" s="15" t="s">
        <v>19</v>
      </c>
      <c r="G3" s="16">
        <f>MAX(K3-K4,2)/TauxChange!B1</f>
        <v>1.6528925619834711</v>
      </c>
      <c r="H3" s="17"/>
      <c r="I3" s="17">
        <f t="shared" si="0"/>
        <v>0.66666666666666663</v>
      </c>
      <c r="J3" s="14">
        <f>TauxChange!$B$1/(1+0.002/100)</f>
        <v>1.2099758004839904</v>
      </c>
      <c r="K3" s="18">
        <f>OperationsUSD!B4/J3</f>
        <v>4132.3140495867765</v>
      </c>
    </row>
    <row r="4" spans="1:21" ht="15.45">
      <c r="F4" s="15" t="s">
        <v>20</v>
      </c>
      <c r="G4" s="16">
        <f>G2+G3</f>
        <v>2.4793388429752068</v>
      </c>
      <c r="H4" s="14"/>
      <c r="I4" s="14">
        <f t="shared" si="0"/>
        <v>1</v>
      </c>
      <c r="J4" s="19">
        <f>TauxChange!$B$1</f>
        <v>1.21</v>
      </c>
      <c r="K4" s="20">
        <f>OperationsUSD!B4/J4</f>
        <v>4132.2314049586776</v>
      </c>
    </row>
    <row r="5" spans="1:21" ht="15.75" customHeight="1">
      <c r="A5" s="21" t="s">
        <v>38</v>
      </c>
    </row>
    <row r="6" spans="1:21" ht="15.75" customHeight="1">
      <c r="A6" s="23">
        <f>OperationsEuros!B3*0.1/100</f>
        <v>5</v>
      </c>
      <c r="B6" s="23">
        <f>IF(A6&lt;4,4,IF(A6&gt;29,29,A6))</f>
        <v>5</v>
      </c>
      <c r="E6" s="21" t="s">
        <v>23</v>
      </c>
      <c r="H6">
        <f>IF(0.005*OperationsUSD!B3&lt;1,1,0.005*OperationsUSD!B3)</f>
        <v>1</v>
      </c>
      <c r="I6">
        <f>IF(G6&gt;OperationsUSD!$B$4*1/100,OperationsUSD!$B$4*1/100,G6)</f>
        <v>0</v>
      </c>
    </row>
    <row r="8" spans="1:21" ht="15.75" customHeight="1">
      <c r="A8" s="21" t="s">
        <v>40</v>
      </c>
      <c r="B8">
        <f>SUM(B10:B40)</f>
        <v>0</v>
      </c>
    </row>
    <row r="10" spans="1:21" ht="15.75" customHeight="1">
      <c r="A10" s="21" t="s">
        <v>25</v>
      </c>
    </row>
    <row r="11" spans="1:21" ht="15.75" customHeight="1">
      <c r="A11" s="21" t="s">
        <v>23</v>
      </c>
      <c r="B11" s="21" t="s">
        <v>26</v>
      </c>
    </row>
    <row r="12" spans="1:21" ht="15.75" customHeight="1">
      <c r="A12">
        <f>IF(OperationsEuros!$B$2="Allemagne",OperationsEuros!$B$3*0.1/100,0)</f>
        <v>0</v>
      </c>
      <c r="B12">
        <f>IF(OperationsEuros!$B$2&lt;&gt;"Allemagne",0,IF(A12&lt;4,4,IF(A12&gt;99,99,A12)))</f>
        <v>0</v>
      </c>
    </row>
    <row r="14" spans="1:21" ht="15.75" customHeight="1">
      <c r="A14" s="21" t="s">
        <v>28</v>
      </c>
    </row>
    <row r="15" spans="1:21" ht="15.75" customHeight="1">
      <c r="A15" s="21" t="s">
        <v>23</v>
      </c>
      <c r="B15" s="21" t="s">
        <v>26</v>
      </c>
    </row>
    <row r="16" spans="1:21" ht="15.75" customHeight="1">
      <c r="A16">
        <f>IF(OperationsEuros!$B$2="Espagne",OperationsEuros!$B$3*0.1/100,0)</f>
        <v>0</v>
      </c>
      <c r="B16">
        <f>IF(OperationsEuros!$B$2&lt;&gt;"Espagne",0,IF(A16&lt;4,4,A16))</f>
        <v>0</v>
      </c>
    </row>
    <row r="18" spans="1:2" ht="15.75" customHeight="1">
      <c r="A18" s="21" t="s">
        <v>29</v>
      </c>
    </row>
    <row r="19" spans="1:2" ht="15.75" customHeight="1">
      <c r="A19" s="21" t="s">
        <v>23</v>
      </c>
      <c r="B19" s="21" t="s">
        <v>26</v>
      </c>
    </row>
    <row r="20" spans="1:2" ht="15.75" customHeight="1">
      <c r="A20">
        <f>IF(OperationsEuros!$B$2="Suisse",OperationsEuros!$B$3*0.1/100,0)</f>
        <v>0</v>
      </c>
      <c r="B20">
        <f>IF(OperationsEuros!$B$2&lt;&gt;"Suisse",0,IF(A20&lt;10,10,A20))</f>
        <v>0</v>
      </c>
    </row>
    <row r="22" spans="1:2" ht="15.75" customHeight="1">
      <c r="A22" s="21" t="s">
        <v>30</v>
      </c>
    </row>
    <row r="23" spans="1:2" ht="15.75" customHeight="1">
      <c r="A23" s="21" t="s">
        <v>23</v>
      </c>
      <c r="B23" s="21" t="s">
        <v>26</v>
      </c>
    </row>
    <row r="24" spans="1:2" ht="15.75" customHeight="1">
      <c r="A24">
        <f>IF(OperationsEuros!$B$2="Portugal",OperationsEuros!$B$3*0.15/100,0)</f>
        <v>0</v>
      </c>
      <c r="B24">
        <f>IF(OperationsEuros!$B$2&lt;&gt;"Portugal",0,IF(A24&lt;6,6,A24))</f>
        <v>0</v>
      </c>
    </row>
    <row r="26" spans="1:2" ht="15.75" customHeight="1">
      <c r="A26" s="21" t="s">
        <v>31</v>
      </c>
    </row>
    <row r="27" spans="1:2" ht="12.45">
      <c r="A27" s="21" t="s">
        <v>23</v>
      </c>
      <c r="B27" s="21" t="s">
        <v>26</v>
      </c>
    </row>
    <row r="28" spans="1:2" ht="12.45">
      <c r="A28">
        <f>IF(OperationsEuros!$B$2="Italie",OperationsEuros!$B$3*0.1/100,0)</f>
        <v>0</v>
      </c>
      <c r="B28">
        <f>IF(OperationsEuros!$B$2&lt;&gt;"Italie",0,IF(A28&lt;4,4,IF(A28&gt;29,29,A28)))</f>
        <v>0</v>
      </c>
    </row>
    <row r="30" spans="1:2" ht="12.45">
      <c r="A30" s="21" t="s">
        <v>32</v>
      </c>
    </row>
    <row r="31" spans="1:2" ht="12.45">
      <c r="A31" s="21" t="s">
        <v>23</v>
      </c>
      <c r="B31" s="21" t="s">
        <v>26</v>
      </c>
    </row>
    <row r="32" spans="1:2" ht="12.45">
      <c r="A32">
        <f>IF(OperationsEuros!$B$2="Irlande",OperationsEuros!$B$3*0.1/100,0)</f>
        <v>0</v>
      </c>
      <c r="B32">
        <f>IF(OperationsEuros!$B$2&lt;&gt;"Irlande",0,IF(A32&lt;4,4,IF(A32&gt;29,29,A32)))</f>
        <v>0</v>
      </c>
    </row>
    <row r="34" spans="1:2" ht="12.45">
      <c r="A34" s="21" t="s">
        <v>33</v>
      </c>
    </row>
    <row r="35" spans="1:2" ht="12.45">
      <c r="A35" s="21" t="s">
        <v>23</v>
      </c>
      <c r="B35" s="21" t="s">
        <v>26</v>
      </c>
    </row>
    <row r="36" spans="1:2" ht="12.45">
      <c r="A36">
        <f>IF(OperationsEuros!$B$2="Autriche",OperationsEuros!$B$3*0.1/100,0)</f>
        <v>0</v>
      </c>
      <c r="B36">
        <f>IF(OperationsEuros!$B$2&lt;&gt;"Autriche",0,IF(A36&lt;4,4,IF(A36&gt;120,120,A36)))</f>
        <v>0</v>
      </c>
    </row>
  </sheetData>
  <pageMargins left="0.7" right="0.7" top="0.75" bottom="0.75"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K9"/>
  <sheetViews>
    <sheetView workbookViewId="0">
      <selection activeCell="B3" sqref="B3"/>
    </sheetView>
  </sheetViews>
  <sheetFormatPr baseColWidth="10" defaultColWidth="14.4609375" defaultRowHeight="15.75" customHeight="1"/>
  <cols>
    <col min="1" max="1" width="28.15234375" customWidth="1"/>
    <col min="2" max="2" width="15.3046875" customWidth="1"/>
  </cols>
  <sheetData>
    <row r="1" spans="1:11" ht="15.45">
      <c r="A1" s="6"/>
      <c r="B1" s="7" t="s">
        <v>83</v>
      </c>
      <c r="F1" s="39"/>
      <c r="G1" s="40" t="s">
        <v>17</v>
      </c>
      <c r="H1" s="41" t="s">
        <v>0</v>
      </c>
      <c r="I1" s="41"/>
      <c r="J1" s="42"/>
      <c r="K1" s="42"/>
    </row>
    <row r="2" spans="1:11" ht="15.45">
      <c r="A2" s="10" t="s">
        <v>18</v>
      </c>
      <c r="B2" s="11">
        <f>IF(OperationsEuros!$B$2="Euronext (Paris, Bruxelles, Amstedam)",B5,"Non Disponible")</f>
        <v>20</v>
      </c>
      <c r="F2" s="39"/>
      <c r="G2" s="43" t="s">
        <v>18</v>
      </c>
      <c r="H2" s="44">
        <f>H6</f>
        <v>50</v>
      </c>
      <c r="I2" s="45">
        <f t="shared" ref="I2:I4" si="0">H2/$H$4</f>
        <v>1</v>
      </c>
      <c r="J2" s="46"/>
      <c r="K2" s="46"/>
    </row>
    <row r="3" spans="1:11" ht="15.45">
      <c r="F3" s="47"/>
      <c r="G3" s="48" t="s">
        <v>19</v>
      </c>
      <c r="H3" s="49">
        <v>0</v>
      </c>
      <c r="I3" s="50">
        <f t="shared" si="0"/>
        <v>0</v>
      </c>
      <c r="J3" s="51">
        <f>TauxChange!$B$1/(1+0.08/100)</f>
        <v>1.2090327737809754</v>
      </c>
      <c r="K3" s="52">
        <f>OperationsUSD!B4/J3</f>
        <v>4135.537190082644</v>
      </c>
    </row>
    <row r="4" spans="1:11" ht="15.45">
      <c r="A4" s="21" t="s">
        <v>50</v>
      </c>
      <c r="B4" s="21" t="s">
        <v>27</v>
      </c>
      <c r="F4" s="47"/>
      <c r="G4" s="53" t="s">
        <v>20</v>
      </c>
      <c r="H4" s="54">
        <f>H2+H3</f>
        <v>50</v>
      </c>
      <c r="I4" s="55">
        <f t="shared" si="0"/>
        <v>1</v>
      </c>
      <c r="J4" s="56">
        <f>TauxChange!$B$1</f>
        <v>1.21</v>
      </c>
      <c r="K4" s="57">
        <f>OperationsUSD!B4/J4</f>
        <v>4132.2314049586776</v>
      </c>
    </row>
    <row r="5" spans="1:11" ht="15.75" customHeight="1">
      <c r="A5">
        <f>IF(OperationsEuros!$B$3&lt;=10000,20,OperationsEuros!$B$3*0.2/100)</f>
        <v>20</v>
      </c>
      <c r="B5">
        <f>A5</f>
        <v>20</v>
      </c>
      <c r="C5" s="38">
        <f>A5/OperationsEuros!B3</f>
        <v>4.0000000000000001E-3</v>
      </c>
      <c r="F5" s="47"/>
      <c r="G5" s="47"/>
      <c r="H5" s="47"/>
      <c r="I5" s="47"/>
      <c r="J5" s="47"/>
      <c r="K5" s="47"/>
    </row>
    <row r="6" spans="1:11" ht="15.75" customHeight="1">
      <c r="F6" s="47" t="s">
        <v>23</v>
      </c>
      <c r="G6" s="58">
        <f>OperationsUSD!$B$5*0.2/100</f>
        <v>8.2644628099173545</v>
      </c>
      <c r="H6" s="59">
        <f>IF(G6&lt;20,20,G6)+30</f>
        <v>50</v>
      </c>
      <c r="I6" s="59"/>
      <c r="J6" s="47"/>
      <c r="K6" s="47"/>
    </row>
    <row r="7" spans="1:11" ht="15.75" customHeight="1">
      <c r="A7" s="21" t="s">
        <v>25</v>
      </c>
      <c r="F7" s="47" t="s">
        <v>74</v>
      </c>
      <c r="G7" s="59">
        <f>OperationsUSD!C4*0.02/100</f>
        <v>0</v>
      </c>
      <c r="H7" s="59">
        <f>IF(G7&lt;2,2,G7)</f>
        <v>2</v>
      </c>
      <c r="I7" s="47"/>
      <c r="J7" s="47"/>
      <c r="K7" s="47"/>
    </row>
    <row r="8" spans="1:11" ht="15.75" customHeight="1">
      <c r="A8" s="21" t="s">
        <v>23</v>
      </c>
      <c r="B8" s="21" t="s">
        <v>26</v>
      </c>
      <c r="C8" s="21" t="s">
        <v>27</v>
      </c>
    </row>
    <row r="9" spans="1:11" ht="15.75" customHeight="1">
      <c r="A9">
        <f>IF(OperationsEuros!$B$2="Allemagne",OperationsEuros!$B$3*0.2/100,0)</f>
        <v>0</v>
      </c>
      <c r="B9">
        <f>IF(OperationsEuros!$B$2&lt;&gt;"Allemagne",0,IF(A9&lt;20,50,A9+30))</f>
        <v>0</v>
      </c>
      <c r="C9">
        <f>B9</f>
        <v>0</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I12"/>
  <sheetViews>
    <sheetView workbookViewId="0"/>
  </sheetViews>
  <sheetFormatPr baseColWidth="10" defaultColWidth="14.4609375" defaultRowHeight="15.75" customHeight="1"/>
  <cols>
    <col min="1" max="1" width="28.15234375" customWidth="1"/>
    <col min="2" max="2" width="15.3046875" customWidth="1"/>
    <col min="3" max="3" width="8.4609375" customWidth="1"/>
  </cols>
  <sheetData>
    <row r="1" spans="1:9" ht="15.45">
      <c r="A1" s="6"/>
      <c r="B1" s="7" t="s">
        <v>0</v>
      </c>
      <c r="C1" s="7"/>
      <c r="F1" s="39"/>
      <c r="G1" s="40" t="s">
        <v>17</v>
      </c>
      <c r="H1" s="41" t="s">
        <v>0</v>
      </c>
      <c r="I1" s="41"/>
    </row>
    <row r="2" spans="1:9" ht="15.45">
      <c r="A2" s="10" t="s">
        <v>18</v>
      </c>
      <c r="B2" s="11">
        <f>IF(OperationsEuros!$B$2="Euronext (Paris, Bruxelles, Amstedam)",C5,IF(OperationsEuros!$B$2="Allemagne",C12,"Non Disponible"))</f>
        <v>10</v>
      </c>
      <c r="C2" s="12" t="e">
        <f>B2/#REF!</f>
        <v>#REF!</v>
      </c>
      <c r="F2" s="39"/>
      <c r="G2" s="43" t="s">
        <v>18</v>
      </c>
      <c r="H2" s="44">
        <f>H6</f>
        <v>50</v>
      </c>
      <c r="I2" s="45">
        <f t="shared" ref="I2:I4" si="0">H2/$H$4</f>
        <v>1</v>
      </c>
    </row>
    <row r="3" spans="1:9" ht="15.45">
      <c r="F3" s="47"/>
      <c r="G3" s="48" t="s">
        <v>19</v>
      </c>
      <c r="H3" s="49">
        <v>0</v>
      </c>
      <c r="I3" s="50">
        <f t="shared" si="0"/>
        <v>0</v>
      </c>
    </row>
    <row r="4" spans="1:9" ht="15.45">
      <c r="F4" s="47"/>
      <c r="G4" s="53" t="s">
        <v>20</v>
      </c>
      <c r="H4" s="54">
        <f>H2+H3</f>
        <v>50</v>
      </c>
      <c r="I4" s="55">
        <f t="shared" si="0"/>
        <v>1</v>
      </c>
    </row>
    <row r="5" spans="1:9" ht="15.75" customHeight="1">
      <c r="A5" s="21" t="s">
        <v>21</v>
      </c>
      <c r="C5">
        <f>SUM(C6:C8)</f>
        <v>10</v>
      </c>
      <c r="F5" s="47"/>
      <c r="G5" s="47"/>
      <c r="H5" s="47"/>
      <c r="I5" s="47"/>
    </row>
    <row r="6" spans="1:9" ht="15.75" customHeight="1">
      <c r="A6" s="21" t="s">
        <v>34</v>
      </c>
      <c r="B6">
        <f>IF(OperationsEuros!$B$3&lt;=500,1.95,0)</f>
        <v>0</v>
      </c>
      <c r="C6">
        <f t="shared" ref="C6:C8" si="1">B6</f>
        <v>0</v>
      </c>
      <c r="F6" s="47" t="s">
        <v>23</v>
      </c>
      <c r="G6" s="58">
        <f>OperationsUSD!$B$5*0.2/100</f>
        <v>8.2644628099173545</v>
      </c>
      <c r="H6" s="59">
        <f>IF(G6&lt;20,20,G6)+30</f>
        <v>50</v>
      </c>
      <c r="I6" s="59"/>
    </row>
    <row r="7" spans="1:9" ht="15.75" customHeight="1">
      <c r="A7" s="21" t="s">
        <v>84</v>
      </c>
      <c r="B7">
        <f>IF(OperationsEuros!$B$3&lt;=500,0,IF(OperationsEuros!$B$3&lt;=2000,3.9,0))</f>
        <v>0</v>
      </c>
      <c r="C7">
        <f t="shared" si="1"/>
        <v>0</v>
      </c>
      <c r="F7" s="47" t="s">
        <v>74</v>
      </c>
      <c r="G7" s="59">
        <f>OperationsUSD!C4*0.02/100</f>
        <v>0</v>
      </c>
      <c r="H7" s="59">
        <f>IF(G7&lt;2,2,G7)</f>
        <v>2</v>
      </c>
      <c r="I7" s="47"/>
    </row>
    <row r="8" spans="1:9" ht="15.75" customHeight="1">
      <c r="A8" s="21" t="s">
        <v>41</v>
      </c>
      <c r="B8" s="23">
        <f>IF(OperationsEuros!$B$3&lt;=2000,0,OperationsEuros!$B$3*0.2/100)</f>
        <v>10</v>
      </c>
      <c r="C8" s="23">
        <f t="shared" si="1"/>
        <v>10</v>
      </c>
    </row>
    <row r="10" spans="1:9" ht="15.75" customHeight="1">
      <c r="A10" s="21" t="s">
        <v>25</v>
      </c>
    </row>
    <row r="11" spans="1:9" ht="15.75" customHeight="1">
      <c r="A11" s="21" t="s">
        <v>23</v>
      </c>
      <c r="B11" s="21" t="s">
        <v>26</v>
      </c>
      <c r="C11" s="21" t="s">
        <v>27</v>
      </c>
    </row>
    <row r="12" spans="1:9" ht="15.75" customHeight="1">
      <c r="A12">
        <f>IF(OperationsEuros!$B$2="Allemagne",OperationsEuros!$B$3*0.2/100,0)</f>
        <v>0</v>
      </c>
      <c r="B12">
        <f>IF(OperationsEuros!$B$2&lt;&gt;"Allemagne",0,IF(A12&lt;20,50,A12+30))</f>
        <v>0</v>
      </c>
      <c r="C12">
        <f>B12</f>
        <v>0</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997"/>
  <sheetViews>
    <sheetView workbookViewId="0"/>
  </sheetViews>
  <sheetFormatPr baseColWidth="10" defaultColWidth="14.4609375" defaultRowHeight="15.75" customHeight="1"/>
  <cols>
    <col min="3" max="3" width="7.3046875" customWidth="1"/>
  </cols>
  <sheetData>
    <row r="1" spans="1:26" ht="15.75" customHeight="1">
      <c r="A1" s="21"/>
      <c r="B1" s="23"/>
      <c r="C1" s="38"/>
      <c r="D1" s="60" t="s">
        <v>85</v>
      </c>
      <c r="E1" s="21" t="s">
        <v>86</v>
      </c>
      <c r="F1" s="60" t="s">
        <v>87</v>
      </c>
      <c r="H1" s="61" t="e">
        <v>#REF!</v>
      </c>
      <c r="J1" s="21">
        <v>10000</v>
      </c>
      <c r="K1" s="21">
        <v>50000</v>
      </c>
      <c r="L1" s="21">
        <v>100000</v>
      </c>
    </row>
    <row r="2" spans="1:26" ht="15.75" customHeight="1">
      <c r="A2" s="21" t="s">
        <v>88</v>
      </c>
      <c r="B2" s="23">
        <v>65.430000000000007</v>
      </c>
      <c r="C2" s="38" t="e">
        <v>#REF!</v>
      </c>
      <c r="D2" s="23">
        <v>1.7026284941339327</v>
      </c>
      <c r="E2" s="23">
        <v>1.7026284941339327</v>
      </c>
      <c r="F2" s="23">
        <v>1.7026284941339327</v>
      </c>
      <c r="G2" s="23">
        <f t="shared" ref="G2:G9" si="0">B2+D2+E2+F2</f>
        <v>70.537885482401805</v>
      </c>
      <c r="H2" s="38" t="e">
        <f t="shared" ref="H2:H9" si="1">G2/$H$1</f>
        <v>#REF!</v>
      </c>
    </row>
    <row r="3" spans="1:26" ht="15.75" customHeight="1">
      <c r="A3" s="21" t="s">
        <v>89</v>
      </c>
      <c r="B3" s="23">
        <v>36.36</v>
      </c>
      <c r="C3" s="38" t="s">
        <v>100</v>
      </c>
      <c r="D3" s="23">
        <v>1.419564737835799</v>
      </c>
      <c r="E3" s="23">
        <v>1.419564737835799</v>
      </c>
      <c r="F3" s="23">
        <v>1.419564737835799</v>
      </c>
      <c r="G3" s="23">
        <f t="shared" si="0"/>
        <v>40.618694213507396</v>
      </c>
      <c r="H3" s="38" t="e">
        <f t="shared" si="1"/>
        <v>#REF!</v>
      </c>
    </row>
    <row r="4" spans="1:26" ht="15.75" customHeight="1">
      <c r="A4" s="21" t="s">
        <v>90</v>
      </c>
      <c r="B4" s="23">
        <v>28.71</v>
      </c>
      <c r="C4" s="38" t="s">
        <v>100</v>
      </c>
      <c r="D4" s="23">
        <v>2.8320669645379439</v>
      </c>
      <c r="E4" s="23">
        <v>2.8320669645379439</v>
      </c>
      <c r="F4" s="23">
        <v>2.8320669645379439</v>
      </c>
      <c r="G4" s="23">
        <f t="shared" si="0"/>
        <v>37.206200893613833</v>
      </c>
      <c r="H4" s="38" t="e">
        <f t="shared" si="1"/>
        <v>#REF!</v>
      </c>
      <c r="I4" s="21">
        <v>0.25</v>
      </c>
      <c r="J4" s="23">
        <f t="shared" ref="J4:L4" si="2">J1*$I$4/100</f>
        <v>25</v>
      </c>
      <c r="K4" s="23">
        <f t="shared" si="2"/>
        <v>125</v>
      </c>
      <c r="L4" s="23">
        <f t="shared" si="2"/>
        <v>250</v>
      </c>
    </row>
    <row r="5" spans="1:26" ht="15.75" customHeight="1">
      <c r="A5" s="21" t="s">
        <v>91</v>
      </c>
      <c r="B5" s="23">
        <v>14.72</v>
      </c>
      <c r="C5" s="38" t="e">
        <v>#REF!</v>
      </c>
      <c r="D5" s="23">
        <v>0.5686767830889039</v>
      </c>
      <c r="E5" s="23">
        <v>0.5686767830889039</v>
      </c>
      <c r="F5" s="23">
        <v>0.5686767830889039</v>
      </c>
      <c r="G5" s="23">
        <f t="shared" si="0"/>
        <v>16.426030349266711</v>
      </c>
      <c r="H5" s="38" t="e">
        <f t="shared" si="1"/>
        <v>#REF!</v>
      </c>
    </row>
    <row r="6" spans="1:26" ht="15.75" customHeight="1">
      <c r="A6" s="21" t="s">
        <v>92</v>
      </c>
      <c r="B6" s="23">
        <v>12.62</v>
      </c>
      <c r="C6" s="38" t="e">
        <v>#REF!</v>
      </c>
      <c r="D6" s="23">
        <v>0.45503234202408294</v>
      </c>
      <c r="E6" s="23">
        <v>0.45503234202408294</v>
      </c>
      <c r="F6" s="23">
        <v>0.45503234202408294</v>
      </c>
      <c r="G6" s="23">
        <f t="shared" si="0"/>
        <v>13.985097026072248</v>
      </c>
      <c r="H6" s="38" t="e">
        <f t="shared" si="1"/>
        <v>#REF!</v>
      </c>
      <c r="I6" s="21">
        <v>3.5999999999999997E-2</v>
      </c>
      <c r="J6" s="23">
        <f t="shared" ref="J6:L6" si="3">J1*$I$6/100</f>
        <v>3.6</v>
      </c>
      <c r="K6" s="23">
        <f t="shared" si="3"/>
        <v>17.999999999999996</v>
      </c>
      <c r="L6" s="23">
        <f t="shared" si="3"/>
        <v>35.999999999999993</v>
      </c>
    </row>
    <row r="7" spans="1:26" ht="15.75" customHeight="1">
      <c r="A7" s="21" t="s">
        <v>93</v>
      </c>
      <c r="B7" s="23">
        <v>9.68</v>
      </c>
      <c r="C7" s="38" t="s">
        <v>100</v>
      </c>
      <c r="D7" s="23">
        <v>0.284480489691191</v>
      </c>
      <c r="E7" s="23">
        <v>0.284480489691191</v>
      </c>
      <c r="F7" s="23">
        <v>0.284480489691191</v>
      </c>
      <c r="G7" s="23">
        <f t="shared" si="0"/>
        <v>10.533441469073573</v>
      </c>
      <c r="H7" s="38" t="e">
        <f t="shared" si="1"/>
        <v>#REF!</v>
      </c>
    </row>
    <row r="8" spans="1:26" ht="15.75" customHeight="1">
      <c r="A8" s="21" t="s">
        <v>94</v>
      </c>
      <c r="B8" s="23">
        <v>6.7</v>
      </c>
      <c r="C8" s="38" t="s">
        <v>100</v>
      </c>
      <c r="D8" s="23">
        <v>0.5686767830889039</v>
      </c>
      <c r="E8" s="23">
        <v>0.5686767830889039</v>
      </c>
      <c r="F8" s="23">
        <v>0.5686767830889039</v>
      </c>
      <c r="G8" s="23">
        <f t="shared" si="0"/>
        <v>8.406030349266711</v>
      </c>
      <c r="H8" s="38" t="e">
        <f t="shared" si="1"/>
        <v>#REF!</v>
      </c>
    </row>
    <row r="9" spans="1:26" ht="15.75" customHeight="1">
      <c r="A9" s="21" t="s">
        <v>95</v>
      </c>
      <c r="B9" s="23">
        <v>2.4300000000000002</v>
      </c>
      <c r="C9" s="38" t="e">
        <v>#REF!</v>
      </c>
      <c r="D9" s="23">
        <v>0.11382632670904513</v>
      </c>
      <c r="E9" s="23">
        <v>0.11382632670904513</v>
      </c>
      <c r="F9" s="23">
        <v>0.11382632670904513</v>
      </c>
      <c r="G9" s="23">
        <f t="shared" si="0"/>
        <v>2.7714789801271356</v>
      </c>
      <c r="H9" s="38" t="e">
        <f t="shared" si="1"/>
        <v>#REF!</v>
      </c>
    </row>
    <row r="10" spans="1:26" ht="15.75" customHeight="1">
      <c r="B10" s="23"/>
    </row>
    <row r="13" spans="1:26" ht="15.75" customHeight="1">
      <c r="B13" s="21" t="s">
        <v>96</v>
      </c>
      <c r="C13" s="21" t="s">
        <v>97</v>
      </c>
      <c r="D13" s="21" t="s">
        <v>98</v>
      </c>
    </row>
    <row r="14" spans="1:26" ht="15.75" customHeight="1">
      <c r="A14" s="21" t="s">
        <v>88</v>
      </c>
      <c r="B14" s="38">
        <v>5.2676876367986313E-2</v>
      </c>
      <c r="C14" s="38">
        <v>1.2935375273597309E-2</v>
      </c>
      <c r="D14" s="38">
        <v>7.9806125820792214E-3</v>
      </c>
    </row>
    <row r="15" spans="1:26" ht="15.75" customHeight="1">
      <c r="A15" s="21" t="s">
        <v>89</v>
      </c>
      <c r="B15" s="38">
        <v>2.5848131892953537E-2</v>
      </c>
      <c r="C15" s="38">
        <v>7.1696263785908099E-3</v>
      </c>
      <c r="D15" s="38">
        <v>4.834813189295452E-3</v>
      </c>
    </row>
    <row r="16" spans="1:26" ht="15.75" customHeight="1">
      <c r="A16" s="21" t="s">
        <v>90</v>
      </c>
      <c r="B16" s="38">
        <v>5.6557347680573347E-3</v>
      </c>
      <c r="C16" s="38">
        <v>5.6557347680574266E-3</v>
      </c>
      <c r="D16" s="38">
        <v>5.6557347680574266E-3</v>
      </c>
      <c r="E16" s="38"/>
      <c r="F16" s="38"/>
      <c r="G16" s="38"/>
      <c r="H16" s="38"/>
      <c r="I16" s="38"/>
      <c r="J16" s="38"/>
      <c r="K16" s="38"/>
      <c r="L16" s="38"/>
      <c r="M16" s="38"/>
      <c r="N16" s="38"/>
      <c r="O16" s="38"/>
      <c r="P16" s="38"/>
      <c r="Q16" s="38"/>
      <c r="R16" s="38"/>
      <c r="S16" s="38"/>
      <c r="T16" s="38"/>
      <c r="U16" s="38"/>
      <c r="V16" s="38"/>
      <c r="W16" s="38"/>
      <c r="X16" s="38"/>
      <c r="Y16" s="38"/>
      <c r="Z16" s="38"/>
    </row>
    <row r="17" spans="1:4" ht="15.75" customHeight="1">
      <c r="A17" s="21" t="s">
        <v>91</v>
      </c>
      <c r="B17" s="38">
        <v>6.9676876367984362E-3</v>
      </c>
      <c r="C17" s="38">
        <v>2.9935375273596201E-3</v>
      </c>
      <c r="D17" s="38">
        <v>2.4967687636797565E-3</v>
      </c>
    </row>
    <row r="18" spans="1:4" ht="15.75" customHeight="1">
      <c r="A18" s="21" t="s">
        <v>92</v>
      </c>
      <c r="B18" s="38">
        <v>9.2450689825575878E-3</v>
      </c>
      <c r="C18" s="38">
        <v>2.4890137965115585E-3</v>
      </c>
      <c r="D18" s="38">
        <v>1.7000000000000229E-3</v>
      </c>
    </row>
    <row r="21" spans="1:4" ht="15.75" customHeight="1">
      <c r="B21" s="23"/>
    </row>
    <row r="22" spans="1:4" ht="15.75" customHeight="1">
      <c r="B22" s="23"/>
    </row>
    <row r="23" spans="1:4" ht="15.75" customHeight="1">
      <c r="B23" s="23"/>
    </row>
    <row r="24" spans="1:4" ht="15.75" customHeight="1">
      <c r="B24" s="23"/>
    </row>
    <row r="25" spans="1:4" ht="15.75" customHeight="1">
      <c r="B25" s="23"/>
    </row>
    <row r="26" spans="1:4" ht="15.75" customHeight="1">
      <c r="B26" s="23"/>
    </row>
    <row r="27" spans="1:4" ht="12.45">
      <c r="B27" s="23"/>
    </row>
    <row r="28" spans="1:4" ht="12.45">
      <c r="B28" s="23"/>
    </row>
    <row r="29" spans="1:4" ht="12.45">
      <c r="B29" s="23"/>
    </row>
    <row r="30" spans="1:4" ht="12.45">
      <c r="B30" s="23"/>
    </row>
    <row r="31" spans="1:4" ht="12.45">
      <c r="B31" s="23"/>
    </row>
    <row r="32" spans="1:4" ht="12.45">
      <c r="B32" s="23"/>
    </row>
    <row r="33" spans="2:2" ht="12.45">
      <c r="B33" s="23"/>
    </row>
    <row r="34" spans="2:2" ht="12.45">
      <c r="B34" s="23"/>
    </row>
    <row r="35" spans="2:2" ht="12.45">
      <c r="B35" s="23"/>
    </row>
    <row r="36" spans="2:2" ht="12.45">
      <c r="B36" s="23"/>
    </row>
    <row r="37" spans="2:2" ht="12.45">
      <c r="B37" s="23"/>
    </row>
    <row r="38" spans="2:2" ht="12.45">
      <c r="B38" s="23"/>
    </row>
    <row r="39" spans="2:2" ht="12.45">
      <c r="B39" s="23"/>
    </row>
    <row r="40" spans="2:2" ht="12.45">
      <c r="B40" s="23"/>
    </row>
    <row r="41" spans="2:2" ht="12.45">
      <c r="B41" s="23"/>
    </row>
    <row r="42" spans="2:2" ht="12.45">
      <c r="B42" s="23"/>
    </row>
    <row r="43" spans="2:2" ht="12.45">
      <c r="B43" s="23"/>
    </row>
    <row r="44" spans="2:2" ht="12.45">
      <c r="B44" s="23"/>
    </row>
    <row r="45" spans="2:2" ht="12.45">
      <c r="B45" s="23"/>
    </row>
    <row r="46" spans="2:2" ht="12.45">
      <c r="B46" s="23"/>
    </row>
    <row r="47" spans="2:2" ht="12.45">
      <c r="B47" s="23"/>
    </row>
    <row r="48" spans="2:2" ht="12.45">
      <c r="B48" s="23"/>
    </row>
    <row r="49" spans="2:2" ht="12.45">
      <c r="B49" s="23"/>
    </row>
    <row r="50" spans="2:2" ht="12.45">
      <c r="B50" s="23"/>
    </row>
    <row r="51" spans="2:2" ht="12.45">
      <c r="B51" s="23"/>
    </row>
    <row r="52" spans="2:2" ht="12.45">
      <c r="B52" s="23"/>
    </row>
    <row r="53" spans="2:2" ht="12.45">
      <c r="B53" s="23"/>
    </row>
    <row r="54" spans="2:2" ht="12.45">
      <c r="B54" s="23"/>
    </row>
    <row r="55" spans="2:2" ht="12.45">
      <c r="B55" s="23"/>
    </row>
    <row r="56" spans="2:2" ht="12.45">
      <c r="B56" s="23"/>
    </row>
    <row r="57" spans="2:2" ht="12.45">
      <c r="B57" s="23"/>
    </row>
    <row r="58" spans="2:2" ht="12.45">
      <c r="B58" s="23"/>
    </row>
    <row r="59" spans="2:2" ht="12.45">
      <c r="B59" s="23"/>
    </row>
    <row r="60" spans="2:2" ht="12.45">
      <c r="B60" s="23"/>
    </row>
    <row r="61" spans="2:2" ht="12.45">
      <c r="B61" s="23"/>
    </row>
    <row r="62" spans="2:2" ht="12.45">
      <c r="B62" s="23"/>
    </row>
    <row r="63" spans="2:2" ht="12.45">
      <c r="B63" s="23"/>
    </row>
    <row r="64" spans="2:2" ht="12.45">
      <c r="B64" s="23"/>
    </row>
    <row r="65" spans="2:2" ht="12.45">
      <c r="B65" s="23"/>
    </row>
    <row r="66" spans="2:2" ht="12.45">
      <c r="B66" s="23"/>
    </row>
    <row r="67" spans="2:2" ht="12.45">
      <c r="B67" s="23"/>
    </row>
    <row r="68" spans="2:2" ht="12.45">
      <c r="B68" s="23"/>
    </row>
    <row r="69" spans="2:2" ht="12.45">
      <c r="B69" s="23"/>
    </row>
    <row r="70" spans="2:2" ht="12.45">
      <c r="B70" s="23"/>
    </row>
    <row r="71" spans="2:2" ht="12.45">
      <c r="B71" s="23"/>
    </row>
    <row r="72" spans="2:2" ht="12.45">
      <c r="B72" s="23"/>
    </row>
    <row r="73" spans="2:2" ht="12.45">
      <c r="B73" s="23"/>
    </row>
    <row r="74" spans="2:2" ht="12.45">
      <c r="B74" s="23"/>
    </row>
    <row r="75" spans="2:2" ht="12.45">
      <c r="B75" s="23"/>
    </row>
    <row r="76" spans="2:2" ht="12.45">
      <c r="B76" s="23"/>
    </row>
    <row r="77" spans="2:2" ht="12.45">
      <c r="B77" s="23"/>
    </row>
    <row r="78" spans="2:2" ht="12.45">
      <c r="B78" s="23"/>
    </row>
    <row r="79" spans="2:2" ht="12.45">
      <c r="B79" s="23"/>
    </row>
    <row r="80" spans="2:2" ht="12.45">
      <c r="B80" s="23"/>
    </row>
    <row r="81" spans="2:2" ht="12.45">
      <c r="B81" s="23"/>
    </row>
    <row r="82" spans="2:2" ht="12.45">
      <c r="B82" s="23"/>
    </row>
    <row r="83" spans="2:2" ht="12.45">
      <c r="B83" s="23"/>
    </row>
    <row r="84" spans="2:2" ht="12.45">
      <c r="B84" s="23"/>
    </row>
    <row r="85" spans="2:2" ht="12.45">
      <c r="B85" s="23"/>
    </row>
    <row r="86" spans="2:2" ht="12.45">
      <c r="B86" s="23"/>
    </row>
    <row r="87" spans="2:2" ht="12.45">
      <c r="B87" s="23"/>
    </row>
    <row r="88" spans="2:2" ht="12.45">
      <c r="B88" s="23"/>
    </row>
    <row r="89" spans="2:2" ht="12.45">
      <c r="B89" s="23"/>
    </row>
    <row r="90" spans="2:2" ht="12.45">
      <c r="B90" s="23"/>
    </row>
    <row r="91" spans="2:2" ht="12.45">
      <c r="B91" s="23"/>
    </row>
    <row r="92" spans="2:2" ht="12.45">
      <c r="B92" s="23"/>
    </row>
    <row r="93" spans="2:2" ht="12.45">
      <c r="B93" s="23"/>
    </row>
    <row r="94" spans="2:2" ht="12.45">
      <c r="B94" s="23"/>
    </row>
    <row r="95" spans="2:2" ht="12.45">
      <c r="B95" s="23"/>
    </row>
    <row r="96" spans="2:2" ht="12.45">
      <c r="B96" s="23"/>
    </row>
    <row r="97" spans="2:2" ht="12.45">
      <c r="B97" s="23"/>
    </row>
    <row r="98" spans="2:2" ht="12.45">
      <c r="B98" s="23"/>
    </row>
    <row r="99" spans="2:2" ht="12.45">
      <c r="B99" s="23"/>
    </row>
    <row r="100" spans="2:2" ht="12.45">
      <c r="B100" s="23"/>
    </row>
    <row r="101" spans="2:2" ht="12.45">
      <c r="B101" s="23"/>
    </row>
    <row r="102" spans="2:2" ht="12.45">
      <c r="B102" s="23"/>
    </row>
    <row r="103" spans="2:2" ht="12.45">
      <c r="B103" s="23"/>
    </row>
    <row r="104" spans="2:2" ht="12.45">
      <c r="B104" s="23"/>
    </row>
    <row r="105" spans="2:2" ht="12.45">
      <c r="B105" s="23"/>
    </row>
    <row r="106" spans="2:2" ht="12.45">
      <c r="B106" s="23"/>
    </row>
    <row r="107" spans="2:2" ht="12.45">
      <c r="B107" s="23"/>
    </row>
    <row r="108" spans="2:2" ht="12.45">
      <c r="B108" s="23"/>
    </row>
    <row r="109" spans="2:2" ht="12.45">
      <c r="B109" s="23"/>
    </row>
    <row r="110" spans="2:2" ht="12.45">
      <c r="B110" s="23"/>
    </row>
    <row r="111" spans="2:2" ht="12.45">
      <c r="B111" s="23"/>
    </row>
    <row r="112" spans="2:2" ht="12.45">
      <c r="B112" s="23"/>
    </row>
    <row r="113" spans="2:2" ht="12.45">
      <c r="B113" s="23"/>
    </row>
    <row r="114" spans="2:2" ht="12.45">
      <c r="B114" s="23"/>
    </row>
    <row r="115" spans="2:2" ht="12.45">
      <c r="B115" s="23"/>
    </row>
    <row r="116" spans="2:2" ht="12.45">
      <c r="B116" s="23"/>
    </row>
    <row r="117" spans="2:2" ht="12.45">
      <c r="B117" s="23"/>
    </row>
    <row r="118" spans="2:2" ht="12.45">
      <c r="B118" s="23"/>
    </row>
    <row r="119" spans="2:2" ht="12.45">
      <c r="B119" s="23"/>
    </row>
    <row r="120" spans="2:2" ht="12.45">
      <c r="B120" s="23"/>
    </row>
    <row r="121" spans="2:2" ht="12.45">
      <c r="B121" s="23"/>
    </row>
    <row r="122" spans="2:2" ht="12.45">
      <c r="B122" s="23"/>
    </row>
    <row r="123" spans="2:2" ht="12.45">
      <c r="B123" s="23"/>
    </row>
    <row r="124" spans="2:2" ht="12.45">
      <c r="B124" s="23"/>
    </row>
    <row r="125" spans="2:2" ht="12.45">
      <c r="B125" s="23"/>
    </row>
    <row r="126" spans="2:2" ht="12.45">
      <c r="B126" s="23"/>
    </row>
    <row r="127" spans="2:2" ht="12.45">
      <c r="B127" s="23"/>
    </row>
    <row r="128" spans="2:2" ht="12.45">
      <c r="B128" s="23"/>
    </row>
    <row r="129" spans="2:2" ht="12.45">
      <c r="B129" s="23"/>
    </row>
    <row r="130" spans="2:2" ht="12.45">
      <c r="B130" s="23"/>
    </row>
    <row r="131" spans="2:2" ht="12.45">
      <c r="B131" s="23"/>
    </row>
    <row r="132" spans="2:2" ht="12.45">
      <c r="B132" s="23"/>
    </row>
    <row r="133" spans="2:2" ht="12.45">
      <c r="B133" s="23"/>
    </row>
    <row r="134" spans="2:2" ht="12.45">
      <c r="B134" s="23"/>
    </row>
    <row r="135" spans="2:2" ht="12.45">
      <c r="B135" s="23"/>
    </row>
    <row r="136" spans="2:2" ht="12.45">
      <c r="B136" s="23"/>
    </row>
    <row r="137" spans="2:2" ht="12.45">
      <c r="B137" s="23"/>
    </row>
    <row r="138" spans="2:2" ht="12.45">
      <c r="B138" s="23"/>
    </row>
    <row r="139" spans="2:2" ht="12.45">
      <c r="B139" s="23"/>
    </row>
    <row r="140" spans="2:2" ht="12.45">
      <c r="B140" s="23"/>
    </row>
    <row r="141" spans="2:2" ht="12.45">
      <c r="B141" s="23"/>
    </row>
    <row r="142" spans="2:2" ht="12.45">
      <c r="B142" s="23"/>
    </row>
    <row r="143" spans="2:2" ht="12.45">
      <c r="B143" s="23"/>
    </row>
    <row r="144" spans="2:2" ht="12.45">
      <c r="B144" s="23"/>
    </row>
    <row r="145" spans="2:2" ht="12.45">
      <c r="B145" s="23"/>
    </row>
    <row r="146" spans="2:2" ht="12.45">
      <c r="B146" s="23"/>
    </row>
    <row r="147" spans="2:2" ht="12.45">
      <c r="B147" s="23"/>
    </row>
    <row r="148" spans="2:2" ht="12.45">
      <c r="B148" s="23"/>
    </row>
    <row r="149" spans="2:2" ht="12.45">
      <c r="B149" s="23"/>
    </row>
    <row r="150" spans="2:2" ht="12.45">
      <c r="B150" s="23"/>
    </row>
    <row r="151" spans="2:2" ht="12.45">
      <c r="B151" s="23"/>
    </row>
    <row r="152" spans="2:2" ht="12.45">
      <c r="B152" s="23"/>
    </row>
    <row r="153" spans="2:2" ht="12.45">
      <c r="B153" s="23"/>
    </row>
    <row r="154" spans="2:2" ht="12.45">
      <c r="B154" s="23"/>
    </row>
    <row r="155" spans="2:2" ht="12.45">
      <c r="B155" s="23"/>
    </row>
    <row r="156" spans="2:2" ht="12.45">
      <c r="B156" s="23"/>
    </row>
    <row r="157" spans="2:2" ht="12.45">
      <c r="B157" s="23"/>
    </row>
    <row r="158" spans="2:2" ht="12.45">
      <c r="B158" s="23"/>
    </row>
    <row r="159" spans="2:2" ht="12.45">
      <c r="B159" s="23"/>
    </row>
    <row r="160" spans="2:2" ht="12.45">
      <c r="B160" s="23"/>
    </row>
    <row r="161" spans="2:2" ht="12.45">
      <c r="B161" s="23"/>
    </row>
    <row r="162" spans="2:2" ht="12.45">
      <c r="B162" s="23"/>
    </row>
    <row r="163" spans="2:2" ht="12.45">
      <c r="B163" s="23"/>
    </row>
    <row r="164" spans="2:2" ht="12.45">
      <c r="B164" s="23"/>
    </row>
    <row r="165" spans="2:2" ht="12.45">
      <c r="B165" s="23"/>
    </row>
    <row r="166" spans="2:2" ht="12.45">
      <c r="B166" s="23"/>
    </row>
    <row r="167" spans="2:2" ht="12.45">
      <c r="B167" s="23"/>
    </row>
    <row r="168" spans="2:2" ht="12.45">
      <c r="B168" s="23"/>
    </row>
    <row r="169" spans="2:2" ht="12.45">
      <c r="B169" s="23"/>
    </row>
    <row r="170" spans="2:2" ht="12.45">
      <c r="B170" s="23"/>
    </row>
    <row r="171" spans="2:2" ht="12.45">
      <c r="B171" s="23"/>
    </row>
    <row r="172" spans="2:2" ht="12.45">
      <c r="B172" s="23"/>
    </row>
    <row r="173" spans="2:2" ht="12.45">
      <c r="B173" s="23"/>
    </row>
    <row r="174" spans="2:2" ht="12.45">
      <c r="B174" s="23"/>
    </row>
    <row r="175" spans="2:2" ht="12.45">
      <c r="B175" s="23"/>
    </row>
    <row r="176" spans="2:2" ht="12.45">
      <c r="B176" s="23"/>
    </row>
    <row r="177" spans="2:2" ht="12.45">
      <c r="B177" s="23"/>
    </row>
    <row r="178" spans="2:2" ht="12.45">
      <c r="B178" s="23"/>
    </row>
    <row r="179" spans="2:2" ht="12.45">
      <c r="B179" s="23"/>
    </row>
    <row r="180" spans="2:2" ht="12.45">
      <c r="B180" s="23"/>
    </row>
    <row r="181" spans="2:2" ht="12.45">
      <c r="B181" s="23"/>
    </row>
    <row r="182" spans="2:2" ht="12.45">
      <c r="B182" s="23"/>
    </row>
    <row r="183" spans="2:2" ht="12.45">
      <c r="B183" s="23"/>
    </row>
    <row r="184" spans="2:2" ht="12.45">
      <c r="B184" s="23"/>
    </row>
    <row r="185" spans="2:2" ht="12.45">
      <c r="B185" s="23"/>
    </row>
    <row r="186" spans="2:2" ht="12.45">
      <c r="B186" s="23"/>
    </row>
    <row r="187" spans="2:2" ht="12.45">
      <c r="B187" s="23"/>
    </row>
    <row r="188" spans="2:2" ht="12.45">
      <c r="B188" s="23"/>
    </row>
    <row r="189" spans="2:2" ht="12.45">
      <c r="B189" s="23"/>
    </row>
    <row r="190" spans="2:2" ht="12.45">
      <c r="B190" s="23"/>
    </row>
    <row r="191" spans="2:2" ht="12.45">
      <c r="B191" s="23"/>
    </row>
    <row r="192" spans="2:2" ht="12.45">
      <c r="B192" s="23"/>
    </row>
    <row r="193" spans="2:2" ht="12.45">
      <c r="B193" s="23"/>
    </row>
    <row r="194" spans="2:2" ht="12.45">
      <c r="B194" s="23"/>
    </row>
    <row r="195" spans="2:2" ht="12.45">
      <c r="B195" s="23"/>
    </row>
    <row r="196" spans="2:2" ht="12.45">
      <c r="B196" s="23"/>
    </row>
    <row r="197" spans="2:2" ht="12.45">
      <c r="B197" s="23"/>
    </row>
    <row r="198" spans="2:2" ht="12.45">
      <c r="B198" s="23"/>
    </row>
    <row r="199" spans="2:2" ht="12.45">
      <c r="B199" s="23"/>
    </row>
    <row r="200" spans="2:2" ht="12.45">
      <c r="B200" s="23"/>
    </row>
    <row r="201" spans="2:2" ht="12.45">
      <c r="B201" s="23"/>
    </row>
    <row r="202" spans="2:2" ht="12.45">
      <c r="B202" s="23"/>
    </row>
    <row r="203" spans="2:2" ht="12.45">
      <c r="B203" s="23"/>
    </row>
    <row r="204" spans="2:2" ht="12.45">
      <c r="B204" s="23"/>
    </row>
    <row r="205" spans="2:2" ht="12.45">
      <c r="B205" s="23"/>
    </row>
    <row r="206" spans="2:2" ht="12.45">
      <c r="B206" s="23"/>
    </row>
    <row r="207" spans="2:2" ht="12.45">
      <c r="B207" s="23"/>
    </row>
    <row r="208" spans="2:2" ht="12.45">
      <c r="B208" s="23"/>
    </row>
    <row r="209" spans="2:2" ht="12.45">
      <c r="B209" s="23"/>
    </row>
    <row r="210" spans="2:2" ht="12.45">
      <c r="B210" s="23"/>
    </row>
    <row r="211" spans="2:2" ht="12.45">
      <c r="B211" s="23"/>
    </row>
    <row r="212" spans="2:2" ht="12.45">
      <c r="B212" s="23"/>
    </row>
    <row r="213" spans="2:2" ht="12.45">
      <c r="B213" s="23"/>
    </row>
    <row r="214" spans="2:2" ht="12.45">
      <c r="B214" s="23"/>
    </row>
    <row r="215" spans="2:2" ht="12.45">
      <c r="B215" s="23"/>
    </row>
    <row r="216" spans="2:2" ht="12.45">
      <c r="B216" s="23"/>
    </row>
    <row r="217" spans="2:2" ht="12.45">
      <c r="B217" s="23"/>
    </row>
    <row r="218" spans="2:2" ht="12.45">
      <c r="B218" s="23"/>
    </row>
    <row r="219" spans="2:2" ht="12.45">
      <c r="B219" s="23"/>
    </row>
    <row r="220" spans="2:2" ht="12.45">
      <c r="B220" s="23"/>
    </row>
    <row r="221" spans="2:2" ht="12.45">
      <c r="B221" s="23"/>
    </row>
    <row r="222" spans="2:2" ht="12.45">
      <c r="B222" s="23"/>
    </row>
    <row r="223" spans="2:2" ht="12.45">
      <c r="B223" s="23"/>
    </row>
    <row r="224" spans="2:2" ht="12.45">
      <c r="B224" s="23"/>
    </row>
    <row r="225" spans="2:2" ht="12.45">
      <c r="B225" s="23"/>
    </row>
    <row r="226" spans="2:2" ht="12.45">
      <c r="B226" s="23"/>
    </row>
    <row r="227" spans="2:2" ht="12.45">
      <c r="B227" s="23"/>
    </row>
    <row r="228" spans="2:2" ht="12.45">
      <c r="B228" s="23"/>
    </row>
    <row r="229" spans="2:2" ht="12.45">
      <c r="B229" s="23"/>
    </row>
    <row r="230" spans="2:2" ht="12.45">
      <c r="B230" s="23"/>
    </row>
    <row r="231" spans="2:2" ht="12.45">
      <c r="B231" s="23"/>
    </row>
    <row r="232" spans="2:2" ht="12.45">
      <c r="B232" s="23"/>
    </row>
    <row r="233" spans="2:2" ht="12.45">
      <c r="B233" s="23"/>
    </row>
    <row r="234" spans="2:2" ht="12.45">
      <c r="B234" s="23"/>
    </row>
    <row r="235" spans="2:2" ht="12.45">
      <c r="B235" s="23"/>
    </row>
    <row r="236" spans="2:2" ht="12.45">
      <c r="B236" s="23"/>
    </row>
    <row r="237" spans="2:2" ht="12.45">
      <c r="B237" s="23"/>
    </row>
    <row r="238" spans="2:2" ht="12.45">
      <c r="B238" s="23"/>
    </row>
    <row r="239" spans="2:2" ht="12.45">
      <c r="B239" s="23"/>
    </row>
    <row r="240" spans="2:2" ht="12.45">
      <c r="B240" s="23"/>
    </row>
    <row r="241" spans="2:2" ht="12.45">
      <c r="B241" s="23"/>
    </row>
    <row r="242" spans="2:2" ht="12.45">
      <c r="B242" s="23"/>
    </row>
    <row r="243" spans="2:2" ht="12.45">
      <c r="B243" s="23"/>
    </row>
    <row r="244" spans="2:2" ht="12.45">
      <c r="B244" s="23"/>
    </row>
    <row r="245" spans="2:2" ht="12.45">
      <c r="B245" s="23"/>
    </row>
    <row r="246" spans="2:2" ht="12.45">
      <c r="B246" s="23"/>
    </row>
    <row r="247" spans="2:2" ht="12.45">
      <c r="B247" s="23"/>
    </row>
    <row r="248" spans="2:2" ht="12.45">
      <c r="B248" s="23"/>
    </row>
    <row r="249" spans="2:2" ht="12.45">
      <c r="B249" s="23"/>
    </row>
    <row r="250" spans="2:2" ht="12.45">
      <c r="B250" s="23"/>
    </row>
    <row r="251" spans="2:2" ht="12.45">
      <c r="B251" s="23"/>
    </row>
    <row r="252" spans="2:2" ht="12.45">
      <c r="B252" s="23"/>
    </row>
    <row r="253" spans="2:2" ht="12.45">
      <c r="B253" s="23"/>
    </row>
    <row r="254" spans="2:2" ht="12.45">
      <c r="B254" s="23"/>
    </row>
    <row r="255" spans="2:2" ht="12.45">
      <c r="B255" s="23"/>
    </row>
    <row r="256" spans="2:2" ht="12.45">
      <c r="B256" s="23"/>
    </row>
    <row r="257" spans="2:2" ht="12.45">
      <c r="B257" s="23"/>
    </row>
    <row r="258" spans="2:2" ht="12.45">
      <c r="B258" s="23"/>
    </row>
    <row r="259" spans="2:2" ht="12.45">
      <c r="B259" s="23"/>
    </row>
    <row r="260" spans="2:2" ht="12.45">
      <c r="B260" s="23"/>
    </row>
    <row r="261" spans="2:2" ht="12.45">
      <c r="B261" s="23"/>
    </row>
    <row r="262" spans="2:2" ht="12.45">
      <c r="B262" s="23"/>
    </row>
    <row r="263" spans="2:2" ht="12.45">
      <c r="B263" s="23"/>
    </row>
    <row r="264" spans="2:2" ht="12.45">
      <c r="B264" s="23"/>
    </row>
    <row r="265" spans="2:2" ht="12.45">
      <c r="B265" s="23"/>
    </row>
    <row r="266" spans="2:2" ht="12.45">
      <c r="B266" s="23"/>
    </row>
    <row r="267" spans="2:2" ht="12.45">
      <c r="B267" s="23"/>
    </row>
    <row r="268" spans="2:2" ht="12.45">
      <c r="B268" s="23"/>
    </row>
    <row r="269" spans="2:2" ht="12.45">
      <c r="B269" s="23"/>
    </row>
    <row r="270" spans="2:2" ht="12.45">
      <c r="B270" s="23"/>
    </row>
    <row r="271" spans="2:2" ht="12.45">
      <c r="B271" s="23"/>
    </row>
    <row r="272" spans="2:2" ht="12.45">
      <c r="B272" s="23"/>
    </row>
    <row r="273" spans="2:2" ht="12.45">
      <c r="B273" s="23"/>
    </row>
    <row r="274" spans="2:2" ht="12.45">
      <c r="B274" s="23"/>
    </row>
    <row r="275" spans="2:2" ht="12.45">
      <c r="B275" s="23"/>
    </row>
    <row r="276" spans="2:2" ht="12.45">
      <c r="B276" s="23"/>
    </row>
    <row r="277" spans="2:2" ht="12.45">
      <c r="B277" s="23"/>
    </row>
    <row r="278" spans="2:2" ht="12.45">
      <c r="B278" s="23"/>
    </row>
    <row r="279" spans="2:2" ht="12.45">
      <c r="B279" s="23"/>
    </row>
    <row r="280" spans="2:2" ht="12.45">
      <c r="B280" s="23"/>
    </row>
    <row r="281" spans="2:2" ht="12.45">
      <c r="B281" s="23"/>
    </row>
    <row r="282" spans="2:2" ht="12.45">
      <c r="B282" s="23"/>
    </row>
    <row r="283" spans="2:2" ht="12.45">
      <c r="B283" s="23"/>
    </row>
    <row r="284" spans="2:2" ht="12.45">
      <c r="B284" s="23"/>
    </row>
    <row r="285" spans="2:2" ht="12.45">
      <c r="B285" s="23"/>
    </row>
    <row r="286" spans="2:2" ht="12.45">
      <c r="B286" s="23"/>
    </row>
    <row r="287" spans="2:2" ht="12.45">
      <c r="B287" s="23"/>
    </row>
    <row r="288" spans="2:2" ht="12.45">
      <c r="B288" s="23"/>
    </row>
    <row r="289" spans="2:2" ht="12.45">
      <c r="B289" s="23"/>
    </row>
    <row r="290" spans="2:2" ht="12.45">
      <c r="B290" s="23"/>
    </row>
    <row r="291" spans="2:2" ht="12.45">
      <c r="B291" s="23"/>
    </row>
    <row r="292" spans="2:2" ht="12.45">
      <c r="B292" s="23"/>
    </row>
    <row r="293" spans="2:2" ht="12.45">
      <c r="B293" s="23"/>
    </row>
    <row r="294" spans="2:2" ht="12.45">
      <c r="B294" s="23"/>
    </row>
    <row r="295" spans="2:2" ht="12.45">
      <c r="B295" s="23"/>
    </row>
    <row r="296" spans="2:2" ht="12.45">
      <c r="B296" s="23"/>
    </row>
    <row r="297" spans="2:2" ht="12.45">
      <c r="B297" s="23"/>
    </row>
    <row r="298" spans="2:2" ht="12.45">
      <c r="B298" s="23"/>
    </row>
    <row r="299" spans="2:2" ht="12.45">
      <c r="B299" s="23"/>
    </row>
    <row r="300" spans="2:2" ht="12.45">
      <c r="B300" s="23"/>
    </row>
    <row r="301" spans="2:2" ht="12.45">
      <c r="B301" s="23"/>
    </row>
    <row r="302" spans="2:2" ht="12.45">
      <c r="B302" s="23"/>
    </row>
    <row r="303" spans="2:2" ht="12.45">
      <c r="B303" s="23"/>
    </row>
    <row r="304" spans="2:2" ht="12.45">
      <c r="B304" s="23"/>
    </row>
    <row r="305" spans="2:2" ht="12.45">
      <c r="B305" s="23"/>
    </row>
    <row r="306" spans="2:2" ht="12.45">
      <c r="B306" s="23"/>
    </row>
    <row r="307" spans="2:2" ht="12.45">
      <c r="B307" s="23"/>
    </row>
    <row r="308" spans="2:2" ht="12.45">
      <c r="B308" s="23"/>
    </row>
    <row r="309" spans="2:2" ht="12.45">
      <c r="B309" s="23"/>
    </row>
    <row r="310" spans="2:2" ht="12.45">
      <c r="B310" s="23"/>
    </row>
    <row r="311" spans="2:2" ht="12.45">
      <c r="B311" s="23"/>
    </row>
    <row r="312" spans="2:2" ht="12.45">
      <c r="B312" s="23"/>
    </row>
    <row r="313" spans="2:2" ht="12.45">
      <c r="B313" s="23"/>
    </row>
    <row r="314" spans="2:2" ht="12.45">
      <c r="B314" s="23"/>
    </row>
    <row r="315" spans="2:2" ht="12.45">
      <c r="B315" s="23"/>
    </row>
    <row r="316" spans="2:2" ht="12.45">
      <c r="B316" s="23"/>
    </row>
    <row r="317" spans="2:2" ht="12.45">
      <c r="B317" s="23"/>
    </row>
    <row r="318" spans="2:2" ht="12.45">
      <c r="B318" s="23"/>
    </row>
    <row r="319" spans="2:2" ht="12.45">
      <c r="B319" s="23"/>
    </row>
    <row r="320" spans="2:2" ht="12.45">
      <c r="B320" s="23"/>
    </row>
    <row r="321" spans="2:2" ht="12.45">
      <c r="B321" s="23"/>
    </row>
    <row r="322" spans="2:2" ht="12.45">
      <c r="B322" s="23"/>
    </row>
    <row r="323" spans="2:2" ht="12.45">
      <c r="B323" s="23"/>
    </row>
    <row r="324" spans="2:2" ht="12.45">
      <c r="B324" s="23"/>
    </row>
    <row r="325" spans="2:2" ht="12.45">
      <c r="B325" s="23"/>
    </row>
    <row r="326" spans="2:2" ht="12.45">
      <c r="B326" s="23"/>
    </row>
    <row r="327" spans="2:2" ht="12.45">
      <c r="B327" s="23"/>
    </row>
    <row r="328" spans="2:2" ht="12.45">
      <c r="B328" s="23"/>
    </row>
    <row r="329" spans="2:2" ht="12.45">
      <c r="B329" s="23"/>
    </row>
    <row r="330" spans="2:2" ht="12.45">
      <c r="B330" s="23"/>
    </row>
    <row r="331" spans="2:2" ht="12.45">
      <c r="B331" s="23"/>
    </row>
    <row r="332" spans="2:2" ht="12.45">
      <c r="B332" s="23"/>
    </row>
    <row r="333" spans="2:2" ht="12.45">
      <c r="B333" s="23"/>
    </row>
    <row r="334" spans="2:2" ht="12.45">
      <c r="B334" s="23"/>
    </row>
    <row r="335" spans="2:2" ht="12.45">
      <c r="B335" s="23"/>
    </row>
    <row r="336" spans="2:2" ht="12.45">
      <c r="B336" s="23"/>
    </row>
    <row r="337" spans="2:2" ht="12.45">
      <c r="B337" s="23"/>
    </row>
    <row r="338" spans="2:2" ht="12.45">
      <c r="B338" s="23"/>
    </row>
    <row r="339" spans="2:2" ht="12.45">
      <c r="B339" s="23"/>
    </row>
    <row r="340" spans="2:2" ht="12.45">
      <c r="B340" s="23"/>
    </row>
    <row r="341" spans="2:2" ht="12.45">
      <c r="B341" s="23"/>
    </row>
    <row r="342" spans="2:2" ht="12.45">
      <c r="B342" s="23"/>
    </row>
    <row r="343" spans="2:2" ht="12.45">
      <c r="B343" s="23"/>
    </row>
    <row r="344" spans="2:2" ht="12.45">
      <c r="B344" s="23"/>
    </row>
    <row r="345" spans="2:2" ht="12.45">
      <c r="B345" s="23"/>
    </row>
    <row r="346" spans="2:2" ht="12.45">
      <c r="B346" s="23"/>
    </row>
    <row r="347" spans="2:2" ht="12.45">
      <c r="B347" s="23"/>
    </row>
    <row r="348" spans="2:2" ht="12.45">
      <c r="B348" s="23"/>
    </row>
    <row r="349" spans="2:2" ht="12.45">
      <c r="B349" s="23"/>
    </row>
    <row r="350" spans="2:2" ht="12.45">
      <c r="B350" s="23"/>
    </row>
    <row r="351" spans="2:2" ht="12.45">
      <c r="B351" s="23"/>
    </row>
    <row r="352" spans="2:2" ht="12.45">
      <c r="B352" s="23"/>
    </row>
    <row r="353" spans="2:2" ht="12.45">
      <c r="B353" s="23"/>
    </row>
    <row r="354" spans="2:2" ht="12.45">
      <c r="B354" s="23"/>
    </row>
    <row r="355" spans="2:2" ht="12.45">
      <c r="B355" s="23"/>
    </row>
    <row r="356" spans="2:2" ht="12.45">
      <c r="B356" s="23"/>
    </row>
    <row r="357" spans="2:2" ht="12.45">
      <c r="B357" s="23"/>
    </row>
    <row r="358" spans="2:2" ht="12.45">
      <c r="B358" s="23"/>
    </row>
    <row r="359" spans="2:2" ht="12.45">
      <c r="B359" s="23"/>
    </row>
    <row r="360" spans="2:2" ht="12.45">
      <c r="B360" s="23"/>
    </row>
    <row r="361" spans="2:2" ht="12.45">
      <c r="B361" s="23"/>
    </row>
    <row r="362" spans="2:2" ht="12.45">
      <c r="B362" s="23"/>
    </row>
    <row r="363" spans="2:2" ht="12.45">
      <c r="B363" s="23"/>
    </row>
    <row r="364" spans="2:2" ht="12.45">
      <c r="B364" s="23"/>
    </row>
    <row r="365" spans="2:2" ht="12.45">
      <c r="B365" s="23"/>
    </row>
    <row r="366" spans="2:2" ht="12.45">
      <c r="B366" s="23"/>
    </row>
    <row r="367" spans="2:2" ht="12.45">
      <c r="B367" s="23"/>
    </row>
    <row r="368" spans="2:2" ht="12.45">
      <c r="B368" s="23"/>
    </row>
    <row r="369" spans="2:2" ht="12.45">
      <c r="B369" s="23"/>
    </row>
    <row r="370" spans="2:2" ht="12.45">
      <c r="B370" s="23"/>
    </row>
    <row r="371" spans="2:2" ht="12.45">
      <c r="B371" s="23"/>
    </row>
    <row r="372" spans="2:2" ht="12.45">
      <c r="B372" s="23"/>
    </row>
    <row r="373" spans="2:2" ht="12.45">
      <c r="B373" s="23"/>
    </row>
    <row r="374" spans="2:2" ht="12.45">
      <c r="B374" s="23"/>
    </row>
    <row r="375" spans="2:2" ht="12.45">
      <c r="B375" s="23"/>
    </row>
    <row r="376" spans="2:2" ht="12.45">
      <c r="B376" s="23"/>
    </row>
    <row r="377" spans="2:2" ht="12.45">
      <c r="B377" s="23"/>
    </row>
    <row r="378" spans="2:2" ht="12.45">
      <c r="B378" s="23"/>
    </row>
    <row r="379" spans="2:2" ht="12.45">
      <c r="B379" s="23"/>
    </row>
    <row r="380" spans="2:2" ht="12.45">
      <c r="B380" s="23"/>
    </row>
    <row r="381" spans="2:2" ht="12.45">
      <c r="B381" s="23"/>
    </row>
    <row r="382" spans="2:2" ht="12.45">
      <c r="B382" s="23"/>
    </row>
    <row r="383" spans="2:2" ht="12.45">
      <c r="B383" s="23"/>
    </row>
    <row r="384" spans="2:2" ht="12.45">
      <c r="B384" s="23"/>
    </row>
    <row r="385" spans="2:2" ht="12.45">
      <c r="B385" s="23"/>
    </row>
    <row r="386" spans="2:2" ht="12.45">
      <c r="B386" s="23"/>
    </row>
    <row r="387" spans="2:2" ht="12.45">
      <c r="B387" s="23"/>
    </row>
    <row r="388" spans="2:2" ht="12.45">
      <c r="B388" s="23"/>
    </row>
    <row r="389" spans="2:2" ht="12.45">
      <c r="B389" s="23"/>
    </row>
    <row r="390" spans="2:2" ht="12.45">
      <c r="B390" s="23"/>
    </row>
    <row r="391" spans="2:2" ht="12.45">
      <c r="B391" s="23"/>
    </row>
    <row r="392" spans="2:2" ht="12.45">
      <c r="B392" s="23"/>
    </row>
    <row r="393" spans="2:2" ht="12.45">
      <c r="B393" s="23"/>
    </row>
    <row r="394" spans="2:2" ht="12.45">
      <c r="B394" s="23"/>
    </row>
    <row r="395" spans="2:2" ht="12.45">
      <c r="B395" s="23"/>
    </row>
    <row r="396" spans="2:2" ht="12.45">
      <c r="B396" s="23"/>
    </row>
    <row r="397" spans="2:2" ht="12.45">
      <c r="B397" s="23"/>
    </row>
    <row r="398" spans="2:2" ht="12.45">
      <c r="B398" s="23"/>
    </row>
    <row r="399" spans="2:2" ht="12.45">
      <c r="B399" s="23"/>
    </row>
    <row r="400" spans="2:2" ht="12.45">
      <c r="B400" s="23"/>
    </row>
    <row r="401" spans="2:2" ht="12.45">
      <c r="B401" s="23"/>
    </row>
    <row r="402" spans="2:2" ht="12.45">
      <c r="B402" s="23"/>
    </row>
    <row r="403" spans="2:2" ht="12.45">
      <c r="B403" s="23"/>
    </row>
    <row r="404" spans="2:2" ht="12.45">
      <c r="B404" s="23"/>
    </row>
    <row r="405" spans="2:2" ht="12.45">
      <c r="B405" s="23"/>
    </row>
    <row r="406" spans="2:2" ht="12.45">
      <c r="B406" s="23"/>
    </row>
    <row r="407" spans="2:2" ht="12.45">
      <c r="B407" s="23"/>
    </row>
    <row r="408" spans="2:2" ht="12.45">
      <c r="B408" s="23"/>
    </row>
    <row r="409" spans="2:2" ht="12.45">
      <c r="B409" s="23"/>
    </row>
    <row r="410" spans="2:2" ht="12.45">
      <c r="B410" s="23"/>
    </row>
    <row r="411" spans="2:2" ht="12.45">
      <c r="B411" s="23"/>
    </row>
    <row r="412" spans="2:2" ht="12.45">
      <c r="B412" s="23"/>
    </row>
    <row r="413" spans="2:2" ht="12.45">
      <c r="B413" s="23"/>
    </row>
    <row r="414" spans="2:2" ht="12.45">
      <c r="B414" s="23"/>
    </row>
    <row r="415" spans="2:2" ht="12.45">
      <c r="B415" s="23"/>
    </row>
    <row r="416" spans="2:2" ht="12.45">
      <c r="B416" s="23"/>
    </row>
    <row r="417" spans="2:2" ht="12.45">
      <c r="B417" s="23"/>
    </row>
    <row r="418" spans="2:2" ht="12.45">
      <c r="B418" s="23"/>
    </row>
    <row r="419" spans="2:2" ht="12.45">
      <c r="B419" s="23"/>
    </row>
    <row r="420" spans="2:2" ht="12.45">
      <c r="B420" s="23"/>
    </row>
    <row r="421" spans="2:2" ht="12.45">
      <c r="B421" s="23"/>
    </row>
    <row r="422" spans="2:2" ht="12.45">
      <c r="B422" s="23"/>
    </row>
    <row r="423" spans="2:2" ht="12.45">
      <c r="B423" s="23"/>
    </row>
    <row r="424" spans="2:2" ht="12.45">
      <c r="B424" s="23"/>
    </row>
    <row r="425" spans="2:2" ht="12.45">
      <c r="B425" s="23"/>
    </row>
    <row r="426" spans="2:2" ht="12.45">
      <c r="B426" s="23"/>
    </row>
    <row r="427" spans="2:2" ht="12.45">
      <c r="B427" s="23"/>
    </row>
    <row r="428" spans="2:2" ht="12.45">
      <c r="B428" s="23"/>
    </row>
    <row r="429" spans="2:2" ht="12.45">
      <c r="B429" s="23"/>
    </row>
    <row r="430" spans="2:2" ht="12.45">
      <c r="B430" s="23"/>
    </row>
    <row r="431" spans="2:2" ht="12.45">
      <c r="B431" s="23"/>
    </row>
    <row r="432" spans="2:2" ht="12.45">
      <c r="B432" s="23"/>
    </row>
    <row r="433" spans="2:2" ht="12.45">
      <c r="B433" s="23"/>
    </row>
    <row r="434" spans="2:2" ht="12.45">
      <c r="B434" s="23"/>
    </row>
    <row r="435" spans="2:2" ht="12.45">
      <c r="B435" s="23"/>
    </row>
    <row r="436" spans="2:2" ht="12.45">
      <c r="B436" s="23"/>
    </row>
    <row r="437" spans="2:2" ht="12.45">
      <c r="B437" s="23"/>
    </row>
    <row r="438" spans="2:2" ht="12.45">
      <c r="B438" s="23"/>
    </row>
    <row r="439" spans="2:2" ht="12.45">
      <c r="B439" s="23"/>
    </row>
    <row r="440" spans="2:2" ht="12.45">
      <c r="B440" s="23"/>
    </row>
    <row r="441" spans="2:2" ht="12.45">
      <c r="B441" s="23"/>
    </row>
    <row r="442" spans="2:2" ht="12.45">
      <c r="B442" s="23"/>
    </row>
    <row r="443" spans="2:2" ht="12.45">
      <c r="B443" s="23"/>
    </row>
    <row r="444" spans="2:2" ht="12.45">
      <c r="B444" s="23"/>
    </row>
    <row r="445" spans="2:2" ht="12.45">
      <c r="B445" s="23"/>
    </row>
    <row r="446" spans="2:2" ht="12.45">
      <c r="B446" s="23"/>
    </row>
    <row r="447" spans="2:2" ht="12.45">
      <c r="B447" s="23"/>
    </row>
    <row r="448" spans="2:2" ht="12.45">
      <c r="B448" s="23"/>
    </row>
    <row r="449" spans="2:2" ht="12.45">
      <c r="B449" s="23"/>
    </row>
    <row r="450" spans="2:2" ht="12.45">
      <c r="B450" s="23"/>
    </row>
    <row r="451" spans="2:2" ht="12.45">
      <c r="B451" s="23"/>
    </row>
    <row r="452" spans="2:2" ht="12.45">
      <c r="B452" s="23"/>
    </row>
    <row r="453" spans="2:2" ht="12.45">
      <c r="B453" s="23"/>
    </row>
    <row r="454" spans="2:2" ht="12.45">
      <c r="B454" s="23"/>
    </row>
    <row r="455" spans="2:2" ht="12.45">
      <c r="B455" s="23"/>
    </row>
    <row r="456" spans="2:2" ht="12.45">
      <c r="B456" s="23"/>
    </row>
    <row r="457" spans="2:2" ht="12.45">
      <c r="B457" s="23"/>
    </row>
    <row r="458" spans="2:2" ht="12.45">
      <c r="B458" s="23"/>
    </row>
    <row r="459" spans="2:2" ht="12.45">
      <c r="B459" s="23"/>
    </row>
    <row r="460" spans="2:2" ht="12.45">
      <c r="B460" s="23"/>
    </row>
    <row r="461" spans="2:2" ht="12.45">
      <c r="B461" s="23"/>
    </row>
    <row r="462" spans="2:2" ht="12.45">
      <c r="B462" s="23"/>
    </row>
    <row r="463" spans="2:2" ht="12.45">
      <c r="B463" s="23"/>
    </row>
    <row r="464" spans="2:2" ht="12.45">
      <c r="B464" s="23"/>
    </row>
    <row r="465" spans="2:2" ht="12.45">
      <c r="B465" s="23"/>
    </row>
    <row r="466" spans="2:2" ht="12.45">
      <c r="B466" s="23"/>
    </row>
    <row r="467" spans="2:2" ht="12.45">
      <c r="B467" s="23"/>
    </row>
    <row r="468" spans="2:2" ht="12.45">
      <c r="B468" s="23"/>
    </row>
    <row r="469" spans="2:2" ht="12.45">
      <c r="B469" s="23"/>
    </row>
    <row r="470" spans="2:2" ht="12.45">
      <c r="B470" s="23"/>
    </row>
    <row r="471" spans="2:2" ht="12.45">
      <c r="B471" s="23"/>
    </row>
    <row r="472" spans="2:2" ht="12.45">
      <c r="B472" s="23"/>
    </row>
    <row r="473" spans="2:2" ht="12.45">
      <c r="B473" s="23"/>
    </row>
    <row r="474" spans="2:2" ht="12.45">
      <c r="B474" s="23"/>
    </row>
    <row r="475" spans="2:2" ht="12.45">
      <c r="B475" s="23"/>
    </row>
    <row r="476" spans="2:2" ht="12.45">
      <c r="B476" s="23"/>
    </row>
    <row r="477" spans="2:2" ht="12.45">
      <c r="B477" s="23"/>
    </row>
    <row r="478" spans="2:2" ht="12.45">
      <c r="B478" s="23"/>
    </row>
    <row r="479" spans="2:2" ht="12.45">
      <c r="B479" s="23"/>
    </row>
    <row r="480" spans="2:2" ht="12.45">
      <c r="B480" s="23"/>
    </row>
    <row r="481" spans="2:2" ht="12.45">
      <c r="B481" s="23"/>
    </row>
    <row r="482" spans="2:2" ht="12.45">
      <c r="B482" s="23"/>
    </row>
    <row r="483" spans="2:2" ht="12.45">
      <c r="B483" s="23"/>
    </row>
    <row r="484" spans="2:2" ht="12.45">
      <c r="B484" s="23"/>
    </row>
    <row r="485" spans="2:2" ht="12.45">
      <c r="B485" s="23"/>
    </row>
    <row r="486" spans="2:2" ht="12.45">
      <c r="B486" s="23"/>
    </row>
    <row r="487" spans="2:2" ht="12.45">
      <c r="B487" s="23"/>
    </row>
    <row r="488" spans="2:2" ht="12.45">
      <c r="B488" s="23"/>
    </row>
    <row r="489" spans="2:2" ht="12.45">
      <c r="B489" s="23"/>
    </row>
    <row r="490" spans="2:2" ht="12.45">
      <c r="B490" s="23"/>
    </row>
    <row r="491" spans="2:2" ht="12.45">
      <c r="B491" s="23"/>
    </row>
    <row r="492" spans="2:2" ht="12.45">
      <c r="B492" s="23"/>
    </row>
    <row r="493" spans="2:2" ht="12.45">
      <c r="B493" s="23"/>
    </row>
    <row r="494" spans="2:2" ht="12.45">
      <c r="B494" s="23"/>
    </row>
    <row r="495" spans="2:2" ht="12.45">
      <c r="B495" s="23"/>
    </row>
    <row r="496" spans="2:2" ht="12.45">
      <c r="B496" s="23"/>
    </row>
    <row r="497" spans="2:2" ht="12.45">
      <c r="B497" s="23"/>
    </row>
    <row r="498" spans="2:2" ht="12.45">
      <c r="B498" s="23"/>
    </row>
    <row r="499" spans="2:2" ht="12.45">
      <c r="B499" s="23"/>
    </row>
    <row r="500" spans="2:2" ht="12.45">
      <c r="B500" s="23"/>
    </row>
    <row r="501" spans="2:2" ht="12.45">
      <c r="B501" s="23"/>
    </row>
    <row r="502" spans="2:2" ht="12.45">
      <c r="B502" s="23"/>
    </row>
    <row r="503" spans="2:2" ht="12.45">
      <c r="B503" s="23"/>
    </row>
    <row r="504" spans="2:2" ht="12.45">
      <c r="B504" s="23"/>
    </row>
    <row r="505" spans="2:2" ht="12.45">
      <c r="B505" s="23"/>
    </row>
    <row r="506" spans="2:2" ht="12.45">
      <c r="B506" s="23"/>
    </row>
    <row r="507" spans="2:2" ht="12.45">
      <c r="B507" s="23"/>
    </row>
    <row r="508" spans="2:2" ht="12.45">
      <c r="B508" s="23"/>
    </row>
    <row r="509" spans="2:2" ht="12.45">
      <c r="B509" s="23"/>
    </row>
    <row r="510" spans="2:2" ht="12.45">
      <c r="B510" s="23"/>
    </row>
    <row r="511" spans="2:2" ht="12.45">
      <c r="B511" s="23"/>
    </row>
    <row r="512" spans="2:2" ht="12.45">
      <c r="B512" s="23"/>
    </row>
    <row r="513" spans="2:2" ht="12.45">
      <c r="B513" s="23"/>
    </row>
    <row r="514" spans="2:2" ht="12.45">
      <c r="B514" s="23"/>
    </row>
    <row r="515" spans="2:2" ht="12.45">
      <c r="B515" s="23"/>
    </row>
    <row r="516" spans="2:2" ht="12.45">
      <c r="B516" s="23"/>
    </row>
    <row r="517" spans="2:2" ht="12.45">
      <c r="B517" s="23"/>
    </row>
    <row r="518" spans="2:2" ht="12.45">
      <c r="B518" s="23"/>
    </row>
    <row r="519" spans="2:2" ht="12.45">
      <c r="B519" s="23"/>
    </row>
    <row r="520" spans="2:2" ht="12.45">
      <c r="B520" s="23"/>
    </row>
    <row r="521" spans="2:2" ht="12.45">
      <c r="B521" s="23"/>
    </row>
    <row r="522" spans="2:2" ht="12.45">
      <c r="B522" s="23"/>
    </row>
    <row r="523" spans="2:2" ht="12.45">
      <c r="B523" s="23"/>
    </row>
    <row r="524" spans="2:2" ht="12.45">
      <c r="B524" s="23"/>
    </row>
    <row r="525" spans="2:2" ht="12.45">
      <c r="B525" s="23"/>
    </row>
    <row r="526" spans="2:2" ht="12.45">
      <c r="B526" s="23"/>
    </row>
    <row r="527" spans="2:2" ht="12.45">
      <c r="B527" s="23"/>
    </row>
    <row r="528" spans="2:2" ht="12.45">
      <c r="B528" s="23"/>
    </row>
    <row r="529" spans="2:2" ht="12.45">
      <c r="B529" s="23"/>
    </row>
    <row r="530" spans="2:2" ht="12.45">
      <c r="B530" s="23"/>
    </row>
    <row r="531" spans="2:2" ht="12.45">
      <c r="B531" s="23"/>
    </row>
    <row r="532" spans="2:2" ht="12.45">
      <c r="B532" s="23"/>
    </row>
    <row r="533" spans="2:2" ht="12.45">
      <c r="B533" s="23"/>
    </row>
    <row r="534" spans="2:2" ht="12.45">
      <c r="B534" s="23"/>
    </row>
    <row r="535" spans="2:2" ht="12.45">
      <c r="B535" s="23"/>
    </row>
    <row r="536" spans="2:2" ht="12.45">
      <c r="B536" s="23"/>
    </row>
    <row r="537" spans="2:2" ht="12.45">
      <c r="B537" s="23"/>
    </row>
    <row r="538" spans="2:2" ht="12.45">
      <c r="B538" s="23"/>
    </row>
    <row r="539" spans="2:2" ht="12.45">
      <c r="B539" s="23"/>
    </row>
    <row r="540" spans="2:2" ht="12.45">
      <c r="B540" s="23"/>
    </row>
    <row r="541" spans="2:2" ht="12.45">
      <c r="B541" s="23"/>
    </row>
    <row r="542" spans="2:2" ht="12.45">
      <c r="B542" s="23"/>
    </row>
    <row r="543" spans="2:2" ht="12.45">
      <c r="B543" s="23"/>
    </row>
    <row r="544" spans="2:2" ht="12.45">
      <c r="B544" s="23"/>
    </row>
    <row r="545" spans="2:2" ht="12.45">
      <c r="B545" s="23"/>
    </row>
    <row r="546" spans="2:2" ht="12.45">
      <c r="B546" s="23"/>
    </row>
    <row r="547" spans="2:2" ht="12.45">
      <c r="B547" s="23"/>
    </row>
    <row r="548" spans="2:2" ht="12.45">
      <c r="B548" s="23"/>
    </row>
    <row r="549" spans="2:2" ht="12.45">
      <c r="B549" s="23"/>
    </row>
    <row r="550" spans="2:2" ht="12.45">
      <c r="B550" s="23"/>
    </row>
    <row r="551" spans="2:2" ht="12.45">
      <c r="B551" s="23"/>
    </row>
    <row r="552" spans="2:2" ht="12.45">
      <c r="B552" s="23"/>
    </row>
    <row r="553" spans="2:2" ht="12.45">
      <c r="B553" s="23"/>
    </row>
    <row r="554" spans="2:2" ht="12.45">
      <c r="B554" s="23"/>
    </row>
    <row r="555" spans="2:2" ht="12.45">
      <c r="B555" s="23"/>
    </row>
    <row r="556" spans="2:2" ht="12.45">
      <c r="B556" s="23"/>
    </row>
    <row r="557" spans="2:2" ht="12.45">
      <c r="B557" s="23"/>
    </row>
    <row r="558" spans="2:2" ht="12.45">
      <c r="B558" s="23"/>
    </row>
    <row r="559" spans="2:2" ht="12.45">
      <c r="B559" s="23"/>
    </row>
    <row r="560" spans="2:2" ht="12.45">
      <c r="B560" s="23"/>
    </row>
    <row r="561" spans="2:2" ht="12.45">
      <c r="B561" s="23"/>
    </row>
    <row r="562" spans="2:2" ht="12.45">
      <c r="B562" s="23"/>
    </row>
    <row r="563" spans="2:2" ht="12.45">
      <c r="B563" s="23"/>
    </row>
    <row r="564" spans="2:2" ht="12.45">
      <c r="B564" s="23"/>
    </row>
    <row r="565" spans="2:2" ht="12.45">
      <c r="B565" s="23"/>
    </row>
    <row r="566" spans="2:2" ht="12.45">
      <c r="B566" s="23"/>
    </row>
    <row r="567" spans="2:2" ht="12.45">
      <c r="B567" s="23"/>
    </row>
    <row r="568" spans="2:2" ht="12.45">
      <c r="B568" s="23"/>
    </row>
    <row r="569" spans="2:2" ht="12.45">
      <c r="B569" s="23"/>
    </row>
    <row r="570" spans="2:2" ht="12.45">
      <c r="B570" s="23"/>
    </row>
    <row r="571" spans="2:2" ht="12.45">
      <c r="B571" s="23"/>
    </row>
    <row r="572" spans="2:2" ht="12.45">
      <c r="B572" s="23"/>
    </row>
    <row r="573" spans="2:2" ht="12.45">
      <c r="B573" s="23"/>
    </row>
    <row r="574" spans="2:2" ht="12.45">
      <c r="B574" s="23"/>
    </row>
    <row r="575" spans="2:2" ht="12.45">
      <c r="B575" s="23"/>
    </row>
    <row r="576" spans="2:2" ht="12.45">
      <c r="B576" s="23"/>
    </row>
    <row r="577" spans="2:2" ht="12.45">
      <c r="B577" s="23"/>
    </row>
    <row r="578" spans="2:2" ht="12.45">
      <c r="B578" s="23"/>
    </row>
    <row r="579" spans="2:2" ht="12.45">
      <c r="B579" s="23"/>
    </row>
    <row r="580" spans="2:2" ht="12.45">
      <c r="B580" s="23"/>
    </row>
    <row r="581" spans="2:2" ht="12.45">
      <c r="B581" s="23"/>
    </row>
    <row r="582" spans="2:2" ht="12.45">
      <c r="B582" s="23"/>
    </row>
    <row r="583" spans="2:2" ht="12.45">
      <c r="B583" s="23"/>
    </row>
    <row r="584" spans="2:2" ht="12.45">
      <c r="B584" s="23"/>
    </row>
    <row r="585" spans="2:2" ht="12.45">
      <c r="B585" s="23"/>
    </row>
    <row r="586" spans="2:2" ht="12.45">
      <c r="B586" s="23"/>
    </row>
    <row r="587" spans="2:2" ht="12.45">
      <c r="B587" s="23"/>
    </row>
    <row r="588" spans="2:2" ht="12.45">
      <c r="B588" s="23"/>
    </row>
    <row r="589" spans="2:2" ht="12.45">
      <c r="B589" s="23"/>
    </row>
    <row r="590" spans="2:2" ht="12.45">
      <c r="B590" s="23"/>
    </row>
    <row r="591" spans="2:2" ht="12.45">
      <c r="B591" s="23"/>
    </row>
    <row r="592" spans="2:2" ht="12.45">
      <c r="B592" s="23"/>
    </row>
    <row r="593" spans="2:2" ht="12.45">
      <c r="B593" s="23"/>
    </row>
    <row r="594" spans="2:2" ht="12.45">
      <c r="B594" s="23"/>
    </row>
    <row r="595" spans="2:2" ht="12.45">
      <c r="B595" s="23"/>
    </row>
    <row r="596" spans="2:2" ht="12.45">
      <c r="B596" s="23"/>
    </row>
    <row r="597" spans="2:2" ht="12.45">
      <c r="B597" s="23"/>
    </row>
    <row r="598" spans="2:2" ht="12.45">
      <c r="B598" s="23"/>
    </row>
    <row r="599" spans="2:2" ht="12.45">
      <c r="B599" s="23"/>
    </row>
    <row r="600" spans="2:2" ht="12.45">
      <c r="B600" s="23"/>
    </row>
    <row r="601" spans="2:2" ht="12.45">
      <c r="B601" s="23"/>
    </row>
    <row r="602" spans="2:2" ht="12.45">
      <c r="B602" s="23"/>
    </row>
    <row r="603" spans="2:2" ht="12.45">
      <c r="B603" s="23"/>
    </row>
    <row r="604" spans="2:2" ht="12.45">
      <c r="B604" s="23"/>
    </row>
    <row r="605" spans="2:2" ht="12.45">
      <c r="B605" s="23"/>
    </row>
    <row r="606" spans="2:2" ht="12.45">
      <c r="B606" s="23"/>
    </row>
    <row r="607" spans="2:2" ht="12.45">
      <c r="B607" s="23"/>
    </row>
    <row r="608" spans="2:2" ht="12.45">
      <c r="B608" s="23"/>
    </row>
    <row r="609" spans="2:2" ht="12.45">
      <c r="B609" s="23"/>
    </row>
    <row r="610" spans="2:2" ht="12.45">
      <c r="B610" s="23"/>
    </row>
    <row r="611" spans="2:2" ht="12.45">
      <c r="B611" s="23"/>
    </row>
    <row r="612" spans="2:2" ht="12.45">
      <c r="B612" s="23"/>
    </row>
    <row r="613" spans="2:2" ht="12.45">
      <c r="B613" s="23"/>
    </row>
    <row r="614" spans="2:2" ht="12.45">
      <c r="B614" s="23"/>
    </row>
    <row r="615" spans="2:2" ht="12.45">
      <c r="B615" s="23"/>
    </row>
    <row r="616" spans="2:2" ht="12.45">
      <c r="B616" s="23"/>
    </row>
    <row r="617" spans="2:2" ht="12.45">
      <c r="B617" s="23"/>
    </row>
    <row r="618" spans="2:2" ht="12.45">
      <c r="B618" s="23"/>
    </row>
    <row r="619" spans="2:2" ht="12.45">
      <c r="B619" s="23"/>
    </row>
    <row r="620" spans="2:2" ht="12.45">
      <c r="B620" s="23"/>
    </row>
    <row r="621" spans="2:2" ht="12.45">
      <c r="B621" s="23"/>
    </row>
    <row r="622" spans="2:2" ht="12.45">
      <c r="B622" s="23"/>
    </row>
    <row r="623" spans="2:2" ht="12.45">
      <c r="B623" s="23"/>
    </row>
    <row r="624" spans="2:2" ht="12.45">
      <c r="B624" s="23"/>
    </row>
    <row r="625" spans="2:2" ht="12.45">
      <c r="B625" s="23"/>
    </row>
    <row r="626" spans="2:2" ht="12.45">
      <c r="B626" s="23"/>
    </row>
    <row r="627" spans="2:2" ht="12.45">
      <c r="B627" s="23"/>
    </row>
    <row r="628" spans="2:2" ht="12.45">
      <c r="B628" s="23"/>
    </row>
    <row r="629" spans="2:2" ht="12.45">
      <c r="B629" s="23"/>
    </row>
    <row r="630" spans="2:2" ht="12.45">
      <c r="B630" s="23"/>
    </row>
    <row r="631" spans="2:2" ht="12.45">
      <c r="B631" s="23"/>
    </row>
    <row r="632" spans="2:2" ht="12.45">
      <c r="B632" s="23"/>
    </row>
    <row r="633" spans="2:2" ht="12.45">
      <c r="B633" s="23"/>
    </row>
    <row r="634" spans="2:2" ht="12.45">
      <c r="B634" s="23"/>
    </row>
    <row r="635" spans="2:2" ht="12.45">
      <c r="B635" s="23"/>
    </row>
    <row r="636" spans="2:2" ht="12.45">
      <c r="B636" s="23"/>
    </row>
    <row r="637" spans="2:2" ht="12.45">
      <c r="B637" s="23"/>
    </row>
    <row r="638" spans="2:2" ht="12.45">
      <c r="B638" s="23"/>
    </row>
    <row r="639" spans="2:2" ht="12.45">
      <c r="B639" s="23"/>
    </row>
    <row r="640" spans="2:2" ht="12.45">
      <c r="B640" s="23"/>
    </row>
    <row r="641" spans="2:2" ht="12.45">
      <c r="B641" s="23"/>
    </row>
    <row r="642" spans="2:2" ht="12.45">
      <c r="B642" s="23"/>
    </row>
    <row r="643" spans="2:2" ht="12.45">
      <c r="B643" s="23"/>
    </row>
    <row r="644" spans="2:2" ht="12.45">
      <c r="B644" s="23"/>
    </row>
    <row r="645" spans="2:2" ht="12.45">
      <c r="B645" s="23"/>
    </row>
    <row r="646" spans="2:2" ht="12.45">
      <c r="B646" s="23"/>
    </row>
    <row r="647" spans="2:2" ht="12.45">
      <c r="B647" s="23"/>
    </row>
    <row r="648" spans="2:2" ht="12.45">
      <c r="B648" s="23"/>
    </row>
    <row r="649" spans="2:2" ht="12.45">
      <c r="B649" s="23"/>
    </row>
    <row r="650" spans="2:2" ht="12.45">
      <c r="B650" s="23"/>
    </row>
    <row r="651" spans="2:2" ht="12.45">
      <c r="B651" s="23"/>
    </row>
    <row r="652" spans="2:2" ht="12.45">
      <c r="B652" s="23"/>
    </row>
    <row r="653" spans="2:2" ht="12.45">
      <c r="B653" s="23"/>
    </row>
    <row r="654" spans="2:2" ht="12.45">
      <c r="B654" s="23"/>
    </row>
    <row r="655" spans="2:2" ht="12.45">
      <c r="B655" s="23"/>
    </row>
    <row r="656" spans="2:2" ht="12.45">
      <c r="B656" s="23"/>
    </row>
    <row r="657" spans="2:2" ht="12.45">
      <c r="B657" s="23"/>
    </row>
    <row r="658" spans="2:2" ht="12.45">
      <c r="B658" s="23"/>
    </row>
    <row r="659" spans="2:2" ht="12.45">
      <c r="B659" s="23"/>
    </row>
    <row r="660" spans="2:2" ht="12.45">
      <c r="B660" s="23"/>
    </row>
    <row r="661" spans="2:2" ht="12.45">
      <c r="B661" s="23"/>
    </row>
    <row r="662" spans="2:2" ht="12.45">
      <c r="B662" s="23"/>
    </row>
    <row r="663" spans="2:2" ht="12.45">
      <c r="B663" s="23"/>
    </row>
    <row r="664" spans="2:2" ht="12.45">
      <c r="B664" s="23"/>
    </row>
    <row r="665" spans="2:2" ht="12.45">
      <c r="B665" s="23"/>
    </row>
    <row r="666" spans="2:2" ht="12.45">
      <c r="B666" s="23"/>
    </row>
    <row r="667" spans="2:2" ht="12.45">
      <c r="B667" s="23"/>
    </row>
    <row r="668" spans="2:2" ht="12.45">
      <c r="B668" s="23"/>
    </row>
    <row r="669" spans="2:2" ht="12.45">
      <c r="B669" s="23"/>
    </row>
    <row r="670" spans="2:2" ht="12.45">
      <c r="B670" s="23"/>
    </row>
    <row r="671" spans="2:2" ht="12.45">
      <c r="B671" s="23"/>
    </row>
    <row r="672" spans="2:2" ht="12.45">
      <c r="B672" s="23"/>
    </row>
    <row r="673" spans="2:2" ht="12.45">
      <c r="B673" s="23"/>
    </row>
    <row r="674" spans="2:2" ht="12.45">
      <c r="B674" s="23"/>
    </row>
    <row r="675" spans="2:2" ht="12.45">
      <c r="B675" s="23"/>
    </row>
    <row r="676" spans="2:2" ht="12.45">
      <c r="B676" s="23"/>
    </row>
    <row r="677" spans="2:2" ht="12.45">
      <c r="B677" s="23"/>
    </row>
    <row r="678" spans="2:2" ht="12.45">
      <c r="B678" s="23"/>
    </row>
    <row r="679" spans="2:2" ht="12.45">
      <c r="B679" s="23"/>
    </row>
    <row r="680" spans="2:2" ht="12.45">
      <c r="B680" s="23"/>
    </row>
    <row r="681" spans="2:2" ht="12.45">
      <c r="B681" s="23"/>
    </row>
    <row r="682" spans="2:2" ht="12.45">
      <c r="B682" s="23"/>
    </row>
    <row r="683" spans="2:2" ht="12.45">
      <c r="B683" s="23"/>
    </row>
    <row r="684" spans="2:2" ht="12.45">
      <c r="B684" s="23"/>
    </row>
    <row r="685" spans="2:2" ht="12.45">
      <c r="B685" s="23"/>
    </row>
    <row r="686" spans="2:2" ht="12.45">
      <c r="B686" s="23"/>
    </row>
    <row r="687" spans="2:2" ht="12.45">
      <c r="B687" s="23"/>
    </row>
    <row r="688" spans="2:2" ht="12.45">
      <c r="B688" s="23"/>
    </row>
    <row r="689" spans="2:2" ht="12.45">
      <c r="B689" s="23"/>
    </row>
    <row r="690" spans="2:2" ht="12.45">
      <c r="B690" s="23"/>
    </row>
    <row r="691" spans="2:2" ht="12.45">
      <c r="B691" s="23"/>
    </row>
    <row r="692" spans="2:2" ht="12.45">
      <c r="B692" s="23"/>
    </row>
    <row r="693" spans="2:2" ht="12.45">
      <c r="B693" s="23"/>
    </row>
    <row r="694" spans="2:2" ht="12.45">
      <c r="B694" s="23"/>
    </row>
    <row r="695" spans="2:2" ht="12.45">
      <c r="B695" s="23"/>
    </row>
    <row r="696" spans="2:2" ht="12.45">
      <c r="B696" s="23"/>
    </row>
    <row r="697" spans="2:2" ht="12.45">
      <c r="B697" s="23"/>
    </row>
    <row r="698" spans="2:2" ht="12.45">
      <c r="B698" s="23"/>
    </row>
    <row r="699" spans="2:2" ht="12.45">
      <c r="B699" s="23"/>
    </row>
    <row r="700" spans="2:2" ht="12.45">
      <c r="B700" s="23"/>
    </row>
    <row r="701" spans="2:2" ht="12.45">
      <c r="B701" s="23"/>
    </row>
    <row r="702" spans="2:2" ht="12.45">
      <c r="B702" s="23"/>
    </row>
    <row r="703" spans="2:2" ht="12.45">
      <c r="B703" s="23"/>
    </row>
    <row r="704" spans="2:2" ht="12.45">
      <c r="B704" s="23"/>
    </row>
    <row r="705" spans="2:2" ht="12.45">
      <c r="B705" s="23"/>
    </row>
    <row r="706" spans="2:2" ht="12.45">
      <c r="B706" s="23"/>
    </row>
    <row r="707" spans="2:2" ht="12.45">
      <c r="B707" s="23"/>
    </row>
    <row r="708" spans="2:2" ht="12.45">
      <c r="B708" s="23"/>
    </row>
    <row r="709" spans="2:2" ht="12.45">
      <c r="B709" s="23"/>
    </row>
    <row r="710" spans="2:2" ht="12.45">
      <c r="B710" s="23"/>
    </row>
    <row r="711" spans="2:2" ht="12.45">
      <c r="B711" s="23"/>
    </row>
    <row r="712" spans="2:2" ht="12.45">
      <c r="B712" s="23"/>
    </row>
    <row r="713" spans="2:2" ht="12.45">
      <c r="B713" s="23"/>
    </row>
    <row r="714" spans="2:2" ht="12.45">
      <c r="B714" s="23"/>
    </row>
    <row r="715" spans="2:2" ht="12.45">
      <c r="B715" s="23"/>
    </row>
    <row r="716" spans="2:2" ht="12.45">
      <c r="B716" s="23"/>
    </row>
    <row r="717" spans="2:2" ht="12.45">
      <c r="B717" s="23"/>
    </row>
    <row r="718" spans="2:2" ht="12.45">
      <c r="B718" s="23"/>
    </row>
    <row r="719" spans="2:2" ht="12.45">
      <c r="B719" s="23"/>
    </row>
    <row r="720" spans="2:2" ht="12.45">
      <c r="B720" s="23"/>
    </row>
    <row r="721" spans="2:2" ht="12.45">
      <c r="B721" s="23"/>
    </row>
    <row r="722" spans="2:2" ht="12.45">
      <c r="B722" s="23"/>
    </row>
    <row r="723" spans="2:2" ht="12.45">
      <c r="B723" s="23"/>
    </row>
    <row r="724" spans="2:2" ht="12.45">
      <c r="B724" s="23"/>
    </row>
    <row r="725" spans="2:2" ht="12.45">
      <c r="B725" s="23"/>
    </row>
    <row r="726" spans="2:2" ht="12.45">
      <c r="B726" s="23"/>
    </row>
    <row r="727" spans="2:2" ht="12.45">
      <c r="B727" s="23"/>
    </row>
    <row r="728" spans="2:2" ht="12.45">
      <c r="B728" s="23"/>
    </row>
    <row r="729" spans="2:2" ht="12.45">
      <c r="B729" s="23"/>
    </row>
    <row r="730" spans="2:2" ht="12.45">
      <c r="B730" s="23"/>
    </row>
    <row r="731" spans="2:2" ht="12.45">
      <c r="B731" s="23"/>
    </row>
    <row r="732" spans="2:2" ht="12.45">
      <c r="B732" s="23"/>
    </row>
    <row r="733" spans="2:2" ht="12.45">
      <c r="B733" s="23"/>
    </row>
    <row r="734" spans="2:2" ht="12.45">
      <c r="B734" s="23"/>
    </row>
    <row r="735" spans="2:2" ht="12.45">
      <c r="B735" s="23"/>
    </row>
    <row r="736" spans="2:2" ht="12.45">
      <c r="B736" s="23"/>
    </row>
    <row r="737" spans="2:2" ht="12.45">
      <c r="B737" s="23"/>
    </row>
    <row r="738" spans="2:2" ht="12.45">
      <c r="B738" s="23"/>
    </row>
    <row r="739" spans="2:2" ht="12.45">
      <c r="B739" s="23"/>
    </row>
    <row r="740" spans="2:2" ht="12.45">
      <c r="B740" s="23"/>
    </row>
    <row r="741" spans="2:2" ht="12.45">
      <c r="B741" s="23"/>
    </row>
    <row r="742" spans="2:2" ht="12.45">
      <c r="B742" s="23"/>
    </row>
    <row r="743" spans="2:2" ht="12.45">
      <c r="B743" s="23"/>
    </row>
    <row r="744" spans="2:2" ht="12.45">
      <c r="B744" s="23"/>
    </row>
    <row r="745" spans="2:2" ht="12.45">
      <c r="B745" s="23"/>
    </row>
    <row r="746" spans="2:2" ht="12.45">
      <c r="B746" s="23"/>
    </row>
    <row r="747" spans="2:2" ht="12.45">
      <c r="B747" s="23"/>
    </row>
    <row r="748" spans="2:2" ht="12.45">
      <c r="B748" s="23"/>
    </row>
    <row r="749" spans="2:2" ht="12.45">
      <c r="B749" s="23"/>
    </row>
    <row r="750" spans="2:2" ht="12.45">
      <c r="B750" s="23"/>
    </row>
    <row r="751" spans="2:2" ht="12.45">
      <c r="B751" s="23"/>
    </row>
    <row r="752" spans="2:2" ht="12.45">
      <c r="B752" s="23"/>
    </row>
    <row r="753" spans="2:2" ht="12.45">
      <c r="B753" s="23"/>
    </row>
    <row r="754" spans="2:2" ht="12.45">
      <c r="B754" s="23"/>
    </row>
    <row r="755" spans="2:2" ht="12.45">
      <c r="B755" s="23"/>
    </row>
    <row r="756" spans="2:2" ht="12.45">
      <c r="B756" s="23"/>
    </row>
    <row r="757" spans="2:2" ht="12.45">
      <c r="B757" s="23"/>
    </row>
    <row r="758" spans="2:2" ht="12.45">
      <c r="B758" s="23"/>
    </row>
    <row r="759" spans="2:2" ht="12.45">
      <c r="B759" s="23"/>
    </row>
    <row r="760" spans="2:2" ht="12.45">
      <c r="B760" s="23"/>
    </row>
    <row r="761" spans="2:2" ht="12.45">
      <c r="B761" s="23"/>
    </row>
    <row r="762" spans="2:2" ht="12.45">
      <c r="B762" s="23"/>
    </row>
    <row r="763" spans="2:2" ht="12.45">
      <c r="B763" s="23"/>
    </row>
    <row r="764" spans="2:2" ht="12.45">
      <c r="B764" s="23"/>
    </row>
    <row r="765" spans="2:2" ht="12.45">
      <c r="B765" s="23"/>
    </row>
    <row r="766" spans="2:2" ht="12.45">
      <c r="B766" s="23"/>
    </row>
    <row r="767" spans="2:2" ht="12.45">
      <c r="B767" s="23"/>
    </row>
    <row r="768" spans="2:2" ht="12.45">
      <c r="B768" s="23"/>
    </row>
    <row r="769" spans="2:2" ht="12.45">
      <c r="B769" s="23"/>
    </row>
    <row r="770" spans="2:2" ht="12.45">
      <c r="B770" s="23"/>
    </row>
    <row r="771" spans="2:2" ht="12.45">
      <c r="B771" s="23"/>
    </row>
    <row r="772" spans="2:2" ht="12.45">
      <c r="B772" s="23"/>
    </row>
    <row r="773" spans="2:2" ht="12.45">
      <c r="B773" s="23"/>
    </row>
    <row r="774" spans="2:2" ht="12.45">
      <c r="B774" s="23"/>
    </row>
    <row r="775" spans="2:2" ht="12.45">
      <c r="B775" s="23"/>
    </row>
    <row r="776" spans="2:2" ht="12.45">
      <c r="B776" s="23"/>
    </row>
    <row r="777" spans="2:2" ht="12.45">
      <c r="B777" s="23"/>
    </row>
    <row r="778" spans="2:2" ht="12.45">
      <c r="B778" s="23"/>
    </row>
    <row r="779" spans="2:2" ht="12.45">
      <c r="B779" s="23"/>
    </row>
    <row r="780" spans="2:2" ht="12.45">
      <c r="B780" s="23"/>
    </row>
    <row r="781" spans="2:2" ht="12.45">
      <c r="B781" s="23"/>
    </row>
    <row r="782" spans="2:2" ht="12.45">
      <c r="B782" s="23"/>
    </row>
    <row r="783" spans="2:2" ht="12.45">
      <c r="B783" s="23"/>
    </row>
    <row r="784" spans="2:2" ht="12.45">
      <c r="B784" s="23"/>
    </row>
    <row r="785" spans="2:2" ht="12.45">
      <c r="B785" s="23"/>
    </row>
    <row r="786" spans="2:2" ht="12.45">
      <c r="B786" s="23"/>
    </row>
    <row r="787" spans="2:2" ht="12.45">
      <c r="B787" s="23"/>
    </row>
    <row r="788" spans="2:2" ht="12.45">
      <c r="B788" s="23"/>
    </row>
    <row r="789" spans="2:2" ht="12.45">
      <c r="B789" s="23"/>
    </row>
    <row r="790" spans="2:2" ht="12.45">
      <c r="B790" s="23"/>
    </row>
    <row r="791" spans="2:2" ht="12.45">
      <c r="B791" s="23"/>
    </row>
    <row r="792" spans="2:2" ht="12.45">
      <c r="B792" s="23"/>
    </row>
    <row r="793" spans="2:2" ht="12.45">
      <c r="B793" s="23"/>
    </row>
    <row r="794" spans="2:2" ht="12.45">
      <c r="B794" s="23"/>
    </row>
    <row r="795" spans="2:2" ht="12.45">
      <c r="B795" s="23"/>
    </row>
    <row r="796" spans="2:2" ht="12.45">
      <c r="B796" s="23"/>
    </row>
    <row r="797" spans="2:2" ht="12.45">
      <c r="B797" s="23"/>
    </row>
    <row r="798" spans="2:2" ht="12.45">
      <c r="B798" s="23"/>
    </row>
    <row r="799" spans="2:2" ht="12.45">
      <c r="B799" s="23"/>
    </row>
    <row r="800" spans="2:2" ht="12.45">
      <c r="B800" s="23"/>
    </row>
    <row r="801" spans="2:2" ht="12.45">
      <c r="B801" s="23"/>
    </row>
    <row r="802" spans="2:2" ht="12.45">
      <c r="B802" s="23"/>
    </row>
    <row r="803" spans="2:2" ht="12.45">
      <c r="B803" s="23"/>
    </row>
    <row r="804" spans="2:2" ht="12.45">
      <c r="B804" s="23"/>
    </row>
    <row r="805" spans="2:2" ht="12.45">
      <c r="B805" s="23"/>
    </row>
    <row r="806" spans="2:2" ht="12.45">
      <c r="B806" s="23"/>
    </row>
    <row r="807" spans="2:2" ht="12.45">
      <c r="B807" s="23"/>
    </row>
    <row r="808" spans="2:2" ht="12.45">
      <c r="B808" s="23"/>
    </row>
    <row r="809" spans="2:2" ht="12.45">
      <c r="B809" s="23"/>
    </row>
    <row r="810" spans="2:2" ht="12.45">
      <c r="B810" s="23"/>
    </row>
    <row r="811" spans="2:2" ht="12.45">
      <c r="B811" s="23"/>
    </row>
    <row r="812" spans="2:2" ht="12.45">
      <c r="B812" s="23"/>
    </row>
    <row r="813" spans="2:2" ht="12.45">
      <c r="B813" s="23"/>
    </row>
    <row r="814" spans="2:2" ht="12.45">
      <c r="B814" s="23"/>
    </row>
    <row r="815" spans="2:2" ht="12.45">
      <c r="B815" s="23"/>
    </row>
    <row r="816" spans="2:2" ht="12.45">
      <c r="B816" s="23"/>
    </row>
    <row r="817" spans="2:2" ht="12.45">
      <c r="B817" s="23"/>
    </row>
    <row r="818" spans="2:2" ht="12.45">
      <c r="B818" s="23"/>
    </row>
    <row r="819" spans="2:2" ht="12.45">
      <c r="B819" s="23"/>
    </row>
    <row r="820" spans="2:2" ht="12.45">
      <c r="B820" s="23"/>
    </row>
    <row r="821" spans="2:2" ht="12.45">
      <c r="B821" s="23"/>
    </row>
    <row r="822" spans="2:2" ht="12.45">
      <c r="B822" s="23"/>
    </row>
    <row r="823" spans="2:2" ht="12.45">
      <c r="B823" s="23"/>
    </row>
    <row r="824" spans="2:2" ht="12.45">
      <c r="B824" s="23"/>
    </row>
    <row r="825" spans="2:2" ht="12.45">
      <c r="B825" s="23"/>
    </row>
    <row r="826" spans="2:2" ht="12.45">
      <c r="B826" s="23"/>
    </row>
    <row r="827" spans="2:2" ht="12.45">
      <c r="B827" s="23"/>
    </row>
    <row r="828" spans="2:2" ht="12.45">
      <c r="B828" s="23"/>
    </row>
    <row r="829" spans="2:2" ht="12.45">
      <c r="B829" s="23"/>
    </row>
    <row r="830" spans="2:2" ht="12.45">
      <c r="B830" s="23"/>
    </row>
    <row r="831" spans="2:2" ht="12.45">
      <c r="B831" s="23"/>
    </row>
    <row r="832" spans="2:2" ht="12.45">
      <c r="B832" s="23"/>
    </row>
    <row r="833" spans="2:2" ht="12.45">
      <c r="B833" s="23"/>
    </row>
    <row r="834" spans="2:2" ht="12.45">
      <c r="B834" s="23"/>
    </row>
    <row r="835" spans="2:2" ht="12.45">
      <c r="B835" s="23"/>
    </row>
    <row r="836" spans="2:2" ht="12.45">
      <c r="B836" s="23"/>
    </row>
    <row r="837" spans="2:2" ht="12.45">
      <c r="B837" s="23"/>
    </row>
    <row r="838" spans="2:2" ht="12.45">
      <c r="B838" s="23"/>
    </row>
    <row r="839" spans="2:2" ht="12.45">
      <c r="B839" s="23"/>
    </row>
    <row r="840" spans="2:2" ht="12.45">
      <c r="B840" s="23"/>
    </row>
    <row r="841" spans="2:2" ht="12.45">
      <c r="B841" s="23"/>
    </row>
    <row r="842" spans="2:2" ht="12.45">
      <c r="B842" s="23"/>
    </row>
    <row r="843" spans="2:2" ht="12.45">
      <c r="B843" s="23"/>
    </row>
    <row r="844" spans="2:2" ht="12.45">
      <c r="B844" s="23"/>
    </row>
    <row r="845" spans="2:2" ht="12.45">
      <c r="B845" s="23"/>
    </row>
    <row r="846" spans="2:2" ht="12.45">
      <c r="B846" s="23"/>
    </row>
    <row r="847" spans="2:2" ht="12.45">
      <c r="B847" s="23"/>
    </row>
    <row r="848" spans="2:2" ht="12.45">
      <c r="B848" s="23"/>
    </row>
    <row r="849" spans="2:2" ht="12.45">
      <c r="B849" s="23"/>
    </row>
    <row r="850" spans="2:2" ht="12.45">
      <c r="B850" s="23"/>
    </row>
    <row r="851" spans="2:2" ht="12.45">
      <c r="B851" s="23"/>
    </row>
    <row r="852" spans="2:2" ht="12.45">
      <c r="B852" s="23"/>
    </row>
    <row r="853" spans="2:2" ht="12.45">
      <c r="B853" s="23"/>
    </row>
    <row r="854" spans="2:2" ht="12.45">
      <c r="B854" s="23"/>
    </row>
    <row r="855" spans="2:2" ht="12.45">
      <c r="B855" s="23"/>
    </row>
    <row r="856" spans="2:2" ht="12.45">
      <c r="B856" s="23"/>
    </row>
    <row r="857" spans="2:2" ht="12.45">
      <c r="B857" s="23"/>
    </row>
    <row r="858" spans="2:2" ht="12.45">
      <c r="B858" s="23"/>
    </row>
    <row r="859" spans="2:2" ht="12.45">
      <c r="B859" s="23"/>
    </row>
    <row r="860" spans="2:2" ht="12.45">
      <c r="B860" s="23"/>
    </row>
    <row r="861" spans="2:2" ht="12.45">
      <c r="B861" s="23"/>
    </row>
    <row r="862" spans="2:2" ht="12.45">
      <c r="B862" s="23"/>
    </row>
    <row r="863" spans="2:2" ht="12.45">
      <c r="B863" s="23"/>
    </row>
    <row r="864" spans="2:2" ht="12.45">
      <c r="B864" s="23"/>
    </row>
    <row r="865" spans="2:2" ht="12.45">
      <c r="B865" s="23"/>
    </row>
    <row r="866" spans="2:2" ht="12.45">
      <c r="B866" s="23"/>
    </row>
    <row r="867" spans="2:2" ht="12.45">
      <c r="B867" s="23"/>
    </row>
    <row r="868" spans="2:2" ht="12.45">
      <c r="B868" s="23"/>
    </row>
    <row r="869" spans="2:2" ht="12.45">
      <c r="B869" s="23"/>
    </row>
    <row r="870" spans="2:2" ht="12.45">
      <c r="B870" s="23"/>
    </row>
    <row r="871" spans="2:2" ht="12.45">
      <c r="B871" s="23"/>
    </row>
    <row r="872" spans="2:2" ht="12.45">
      <c r="B872" s="23"/>
    </row>
    <row r="873" spans="2:2" ht="12.45">
      <c r="B873" s="23"/>
    </row>
    <row r="874" spans="2:2" ht="12.45">
      <c r="B874" s="23"/>
    </row>
    <row r="875" spans="2:2" ht="12.45">
      <c r="B875" s="23"/>
    </row>
    <row r="876" spans="2:2" ht="12.45">
      <c r="B876" s="23"/>
    </row>
    <row r="877" spans="2:2" ht="12.45">
      <c r="B877" s="23"/>
    </row>
    <row r="878" spans="2:2" ht="12.45">
      <c r="B878" s="23"/>
    </row>
    <row r="879" spans="2:2" ht="12.45">
      <c r="B879" s="23"/>
    </row>
    <row r="880" spans="2:2" ht="12.45">
      <c r="B880" s="23"/>
    </row>
    <row r="881" spans="2:2" ht="12.45">
      <c r="B881" s="23"/>
    </row>
    <row r="882" spans="2:2" ht="12.45">
      <c r="B882" s="23"/>
    </row>
    <row r="883" spans="2:2" ht="12.45">
      <c r="B883" s="23"/>
    </row>
    <row r="884" spans="2:2" ht="12.45">
      <c r="B884" s="23"/>
    </row>
    <row r="885" spans="2:2" ht="12.45">
      <c r="B885" s="23"/>
    </row>
    <row r="886" spans="2:2" ht="12.45">
      <c r="B886" s="23"/>
    </row>
    <row r="887" spans="2:2" ht="12.45">
      <c r="B887" s="23"/>
    </row>
    <row r="888" spans="2:2" ht="12.45">
      <c r="B888" s="23"/>
    </row>
    <row r="889" spans="2:2" ht="12.45">
      <c r="B889" s="23"/>
    </row>
    <row r="890" spans="2:2" ht="12.45">
      <c r="B890" s="23"/>
    </row>
    <row r="891" spans="2:2" ht="12.45">
      <c r="B891" s="23"/>
    </row>
    <row r="892" spans="2:2" ht="12.45">
      <c r="B892" s="23"/>
    </row>
    <row r="893" spans="2:2" ht="12.45">
      <c r="B893" s="23"/>
    </row>
    <row r="894" spans="2:2" ht="12.45">
      <c r="B894" s="23"/>
    </row>
    <row r="895" spans="2:2" ht="12.45">
      <c r="B895" s="23"/>
    </row>
    <row r="896" spans="2:2" ht="12.45">
      <c r="B896" s="23"/>
    </row>
    <row r="897" spans="2:2" ht="12.45">
      <c r="B897" s="23"/>
    </row>
    <row r="898" spans="2:2" ht="12.45">
      <c r="B898" s="23"/>
    </row>
    <row r="899" spans="2:2" ht="12.45">
      <c r="B899" s="23"/>
    </row>
    <row r="900" spans="2:2" ht="12.45">
      <c r="B900" s="23"/>
    </row>
    <row r="901" spans="2:2" ht="12.45">
      <c r="B901" s="23"/>
    </row>
    <row r="902" spans="2:2" ht="12.45">
      <c r="B902" s="23"/>
    </row>
    <row r="903" spans="2:2" ht="12.45">
      <c r="B903" s="23"/>
    </row>
    <row r="904" spans="2:2" ht="12.45">
      <c r="B904" s="23"/>
    </row>
    <row r="905" spans="2:2" ht="12.45">
      <c r="B905" s="23"/>
    </row>
    <row r="906" spans="2:2" ht="12.45">
      <c r="B906" s="23"/>
    </row>
    <row r="907" spans="2:2" ht="12.45">
      <c r="B907" s="23"/>
    </row>
    <row r="908" spans="2:2" ht="12.45">
      <c r="B908" s="23"/>
    </row>
    <row r="909" spans="2:2" ht="12.45">
      <c r="B909" s="23"/>
    </row>
    <row r="910" spans="2:2" ht="12.45">
      <c r="B910" s="23"/>
    </row>
    <row r="911" spans="2:2" ht="12.45">
      <c r="B911" s="23"/>
    </row>
    <row r="912" spans="2:2" ht="12.45">
      <c r="B912" s="23"/>
    </row>
    <row r="913" spans="2:2" ht="12.45">
      <c r="B913" s="23"/>
    </row>
    <row r="914" spans="2:2" ht="12.45">
      <c r="B914" s="23"/>
    </row>
    <row r="915" spans="2:2" ht="12.45">
      <c r="B915" s="23"/>
    </row>
    <row r="916" spans="2:2" ht="12.45">
      <c r="B916" s="23"/>
    </row>
    <row r="917" spans="2:2" ht="12.45">
      <c r="B917" s="23"/>
    </row>
    <row r="918" spans="2:2" ht="12.45">
      <c r="B918" s="23"/>
    </row>
    <row r="919" spans="2:2" ht="12.45">
      <c r="B919" s="23"/>
    </row>
    <row r="920" spans="2:2" ht="12.45">
      <c r="B920" s="23"/>
    </row>
    <row r="921" spans="2:2" ht="12.45">
      <c r="B921" s="23"/>
    </row>
    <row r="922" spans="2:2" ht="12.45">
      <c r="B922" s="23"/>
    </row>
    <row r="923" spans="2:2" ht="12.45">
      <c r="B923" s="23"/>
    </row>
    <row r="924" spans="2:2" ht="12.45">
      <c r="B924" s="23"/>
    </row>
    <row r="925" spans="2:2" ht="12.45">
      <c r="B925" s="23"/>
    </row>
    <row r="926" spans="2:2" ht="12.45">
      <c r="B926" s="23"/>
    </row>
    <row r="927" spans="2:2" ht="12.45">
      <c r="B927" s="23"/>
    </row>
    <row r="928" spans="2:2" ht="12.45">
      <c r="B928" s="23"/>
    </row>
    <row r="929" spans="2:2" ht="12.45">
      <c r="B929" s="23"/>
    </row>
    <row r="930" spans="2:2" ht="12.45">
      <c r="B930" s="23"/>
    </row>
    <row r="931" spans="2:2" ht="12.45">
      <c r="B931" s="23"/>
    </row>
    <row r="932" spans="2:2" ht="12.45">
      <c r="B932" s="23"/>
    </row>
    <row r="933" spans="2:2" ht="12.45">
      <c r="B933" s="23"/>
    </row>
    <row r="934" spans="2:2" ht="12.45">
      <c r="B934" s="23"/>
    </row>
    <row r="935" spans="2:2" ht="12.45">
      <c r="B935" s="23"/>
    </row>
    <row r="936" spans="2:2" ht="12.45">
      <c r="B936" s="23"/>
    </row>
    <row r="937" spans="2:2" ht="12.45">
      <c r="B937" s="23"/>
    </row>
    <row r="938" spans="2:2" ht="12.45">
      <c r="B938" s="23"/>
    </row>
    <row r="939" spans="2:2" ht="12.45">
      <c r="B939" s="23"/>
    </row>
    <row r="940" spans="2:2" ht="12.45">
      <c r="B940" s="23"/>
    </row>
    <row r="941" spans="2:2" ht="12.45">
      <c r="B941" s="23"/>
    </row>
    <row r="942" spans="2:2" ht="12.45">
      <c r="B942" s="23"/>
    </row>
    <row r="943" spans="2:2" ht="12.45">
      <c r="B943" s="23"/>
    </row>
    <row r="944" spans="2:2" ht="12.45">
      <c r="B944" s="23"/>
    </row>
    <row r="945" spans="2:2" ht="12.45">
      <c r="B945" s="23"/>
    </row>
    <row r="946" spans="2:2" ht="12.45">
      <c r="B946" s="23"/>
    </row>
    <row r="947" spans="2:2" ht="12.45">
      <c r="B947" s="23"/>
    </row>
    <row r="948" spans="2:2" ht="12.45">
      <c r="B948" s="23"/>
    </row>
    <row r="949" spans="2:2" ht="12.45">
      <c r="B949" s="23"/>
    </row>
    <row r="950" spans="2:2" ht="12.45">
      <c r="B950" s="23"/>
    </row>
    <row r="951" spans="2:2" ht="12.45">
      <c r="B951" s="23"/>
    </row>
    <row r="952" spans="2:2" ht="12.45">
      <c r="B952" s="23"/>
    </row>
    <row r="953" spans="2:2" ht="12.45">
      <c r="B953" s="23"/>
    </row>
    <row r="954" spans="2:2" ht="12.45">
      <c r="B954" s="23"/>
    </row>
    <row r="955" spans="2:2" ht="12.45">
      <c r="B955" s="23"/>
    </row>
    <row r="956" spans="2:2" ht="12.45">
      <c r="B956" s="23"/>
    </row>
    <row r="957" spans="2:2" ht="12.45">
      <c r="B957" s="23"/>
    </row>
    <row r="958" spans="2:2" ht="12.45">
      <c r="B958" s="23"/>
    </row>
    <row r="959" spans="2:2" ht="12.45">
      <c r="B959" s="23"/>
    </row>
    <row r="960" spans="2:2" ht="12.45">
      <c r="B960" s="23"/>
    </row>
    <row r="961" spans="2:2" ht="12.45">
      <c r="B961" s="23"/>
    </row>
    <row r="962" spans="2:2" ht="12.45">
      <c r="B962" s="23"/>
    </row>
    <row r="963" spans="2:2" ht="12.45">
      <c r="B963" s="23"/>
    </row>
    <row r="964" spans="2:2" ht="12.45">
      <c r="B964" s="23"/>
    </row>
    <row r="965" spans="2:2" ht="12.45">
      <c r="B965" s="23"/>
    </row>
    <row r="966" spans="2:2" ht="12.45">
      <c r="B966" s="23"/>
    </row>
    <row r="967" spans="2:2" ht="12.45">
      <c r="B967" s="23"/>
    </row>
    <row r="968" spans="2:2" ht="12.45">
      <c r="B968" s="23"/>
    </row>
    <row r="969" spans="2:2" ht="12.45">
      <c r="B969" s="23"/>
    </row>
    <row r="970" spans="2:2" ht="12.45">
      <c r="B970" s="23"/>
    </row>
    <row r="971" spans="2:2" ht="12.45">
      <c r="B971" s="23"/>
    </row>
    <row r="972" spans="2:2" ht="12.45">
      <c r="B972" s="23"/>
    </row>
    <row r="973" spans="2:2" ht="12.45">
      <c r="B973" s="23"/>
    </row>
    <row r="974" spans="2:2" ht="12.45">
      <c r="B974" s="23"/>
    </row>
    <row r="975" spans="2:2" ht="12.45">
      <c r="B975" s="23"/>
    </row>
    <row r="976" spans="2:2" ht="12.45">
      <c r="B976" s="23"/>
    </row>
    <row r="977" spans="2:2" ht="12.45">
      <c r="B977" s="23"/>
    </row>
    <row r="978" spans="2:2" ht="12.45">
      <c r="B978" s="23"/>
    </row>
    <row r="979" spans="2:2" ht="12.45">
      <c r="B979" s="23"/>
    </row>
    <row r="980" spans="2:2" ht="12.45">
      <c r="B980" s="23"/>
    </row>
    <row r="981" spans="2:2" ht="12.45">
      <c r="B981" s="23"/>
    </row>
    <row r="982" spans="2:2" ht="12.45">
      <c r="B982" s="23"/>
    </row>
    <row r="983" spans="2:2" ht="12.45">
      <c r="B983" s="23"/>
    </row>
    <row r="984" spans="2:2" ht="12.45">
      <c r="B984" s="23"/>
    </row>
    <row r="985" spans="2:2" ht="12.45">
      <c r="B985" s="23"/>
    </row>
    <row r="986" spans="2:2" ht="12.45">
      <c r="B986" s="23"/>
    </row>
    <row r="987" spans="2:2" ht="12.45">
      <c r="B987" s="23"/>
    </row>
    <row r="988" spans="2:2" ht="12.45">
      <c r="B988" s="23"/>
    </row>
    <row r="989" spans="2:2" ht="12.45">
      <c r="B989" s="23"/>
    </row>
    <row r="990" spans="2:2" ht="12.45">
      <c r="B990" s="23"/>
    </row>
    <row r="991" spans="2:2" ht="12.45">
      <c r="B991" s="23"/>
    </row>
    <row r="992" spans="2:2" ht="12.45">
      <c r="B992" s="23"/>
    </row>
    <row r="993" spans="2:2" ht="12.45">
      <c r="B993" s="23"/>
    </row>
    <row r="994" spans="2:2" ht="12.45">
      <c r="B994" s="23"/>
    </row>
    <row r="995" spans="2:2" ht="12.45">
      <c r="B995" s="23"/>
    </row>
    <row r="996" spans="2:2" ht="12.45">
      <c r="B996" s="23"/>
    </row>
    <row r="997" spans="2:2" ht="12.45">
      <c r="B997" s="2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B1"/>
  <sheetViews>
    <sheetView workbookViewId="0">
      <selection activeCell="B2" sqref="B2"/>
    </sheetView>
  </sheetViews>
  <sheetFormatPr baseColWidth="10" defaultColWidth="14.4609375" defaultRowHeight="15.75" customHeight="1"/>
  <cols>
    <col min="1" max="1" width="26.84375" bestFit="1" customWidth="1"/>
  </cols>
  <sheetData>
    <row r="1" spans="1:2" ht="15.75" customHeight="1">
      <c r="A1" s="82" t="s">
        <v>99</v>
      </c>
      <c r="B1" s="88">
        <v>1.21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outlinePr summaryBelow="0" summaryRight="0"/>
  </sheetPr>
  <dimension ref="A1:F989"/>
  <sheetViews>
    <sheetView tabSelected="1" workbookViewId="0">
      <pane ySplit="3" topLeftCell="A4" activePane="bottomLeft" state="frozen"/>
      <selection pane="bottomLeft" activeCell="D19" sqref="D19"/>
    </sheetView>
  </sheetViews>
  <sheetFormatPr baseColWidth="10" defaultColWidth="14.4609375" defaultRowHeight="15.75" customHeight="1"/>
  <cols>
    <col min="1" max="1" width="27.69140625" customWidth="1"/>
    <col min="2" max="2" width="46.53515625" customWidth="1"/>
    <col min="3" max="3" width="30.15234375" customWidth="1"/>
  </cols>
  <sheetData>
    <row r="1" spans="1:6" ht="15.45">
      <c r="A1" s="83"/>
      <c r="B1" s="84" t="s">
        <v>0</v>
      </c>
      <c r="C1" s="85"/>
    </row>
    <row r="2" spans="1:6" ht="15.45">
      <c r="A2" s="68" t="s">
        <v>1</v>
      </c>
      <c r="B2" s="92" t="s">
        <v>2</v>
      </c>
      <c r="C2" s="85"/>
    </row>
    <row r="3" spans="1:6" ht="15.45">
      <c r="A3" s="86" t="s">
        <v>3</v>
      </c>
      <c r="B3" s="87">
        <v>5000</v>
      </c>
      <c r="C3" s="85"/>
    </row>
    <row r="4" spans="1:6" ht="17.600000000000001">
      <c r="A4" s="71"/>
      <c r="B4" s="95" t="s">
        <v>4</v>
      </c>
      <c r="C4" s="96"/>
    </row>
    <row r="5" spans="1:6" ht="15.75" customHeight="1">
      <c r="A5" s="71"/>
      <c r="B5" s="72" t="s">
        <v>5</v>
      </c>
      <c r="C5" s="73" t="s">
        <v>6</v>
      </c>
    </row>
    <row r="6" spans="1:6" ht="15.45">
      <c r="A6" s="77" t="s">
        <v>7</v>
      </c>
      <c r="B6" s="79">
        <f>BourseDirect!B2</f>
        <v>4.5</v>
      </c>
      <c r="C6" s="80">
        <f t="shared" ref="C6:C15" si="0">IFERROR(B6/$B$3,"")</f>
        <v>8.9999999999999998E-4</v>
      </c>
    </row>
    <row r="7" spans="1:6" ht="15.45">
      <c r="A7" s="77" t="s">
        <v>8</v>
      </c>
      <c r="B7" s="79">
        <f>FortuneoZeroCourtage!B2</f>
        <v>20</v>
      </c>
      <c r="C7" s="80">
        <f t="shared" si="0"/>
        <v>4.0000000000000001E-3</v>
      </c>
      <c r="D7" s="4"/>
      <c r="F7" s="5"/>
    </row>
    <row r="8" spans="1:6" ht="15.45">
      <c r="A8" s="77" t="s">
        <v>9</v>
      </c>
      <c r="B8" s="79">
        <f>FortuneoOptimum!B2</f>
        <v>10</v>
      </c>
      <c r="C8" s="80">
        <f t="shared" si="0"/>
        <v>2E-3</v>
      </c>
      <c r="D8" s="4"/>
      <c r="F8" s="5"/>
    </row>
    <row r="9" spans="1:6" ht="15.45">
      <c r="A9" s="77" t="s">
        <v>10</v>
      </c>
      <c r="B9" s="79">
        <f>BoursoDecouverte!B2</f>
        <v>30</v>
      </c>
      <c r="C9" s="80">
        <f t="shared" si="0"/>
        <v>6.0000000000000001E-3</v>
      </c>
      <c r="D9" s="4"/>
      <c r="F9" s="5"/>
    </row>
    <row r="10" spans="1:6" ht="15.45">
      <c r="A10" s="77" t="s">
        <v>11</v>
      </c>
      <c r="B10" s="79">
        <f>BoursoClassic!B2</f>
        <v>24</v>
      </c>
      <c r="C10" s="80">
        <f t="shared" si="0"/>
        <v>4.7999999999999996E-3</v>
      </c>
      <c r="F10" s="5"/>
    </row>
    <row r="11" spans="1:6" ht="15.45">
      <c r="A11" s="77" t="s">
        <v>12</v>
      </c>
      <c r="B11" s="79">
        <f>SaxoBanque!B2</f>
        <v>5</v>
      </c>
      <c r="C11" s="80">
        <f t="shared" si="0"/>
        <v>1E-3</v>
      </c>
      <c r="F11" s="5"/>
    </row>
    <row r="12" spans="1:6" ht="15.45">
      <c r="A12" s="77" t="s">
        <v>13</v>
      </c>
      <c r="B12" s="79">
        <f>IB!B2</f>
        <v>5</v>
      </c>
      <c r="C12" s="80">
        <f t="shared" si="0"/>
        <v>1E-3</v>
      </c>
    </row>
    <row r="13" spans="1:6" ht="15.45">
      <c r="A13" s="77" t="s">
        <v>14</v>
      </c>
      <c r="B13" s="79">
        <f>Lynx!B2</f>
        <v>6</v>
      </c>
      <c r="C13" s="80">
        <f t="shared" si="0"/>
        <v>1.1999999999999999E-3</v>
      </c>
    </row>
    <row r="14" spans="1:6" ht="15.45">
      <c r="A14" s="77" t="s">
        <v>15</v>
      </c>
      <c r="B14" s="79">
        <v>0</v>
      </c>
      <c r="C14" s="80">
        <f t="shared" si="0"/>
        <v>0</v>
      </c>
    </row>
    <row r="15" spans="1:6" ht="15.45">
      <c r="A15" s="77" t="s">
        <v>16</v>
      </c>
      <c r="B15" s="79">
        <f>DeGiro!B2</f>
        <v>2</v>
      </c>
      <c r="C15" s="80">
        <f t="shared" si="0"/>
        <v>4.0000000000000002E-4</v>
      </c>
    </row>
    <row r="16" spans="1:6" ht="15.75" customHeight="1">
      <c r="C16" s="1"/>
    </row>
    <row r="17" spans="3:3" ht="15.75" customHeight="1">
      <c r="C17" s="1"/>
    </row>
    <row r="18" spans="3:3" ht="15.75" customHeight="1">
      <c r="C18" s="1"/>
    </row>
    <row r="19" spans="3:3" ht="15.75" customHeight="1">
      <c r="C19" s="1"/>
    </row>
    <row r="20" spans="3:3" ht="15.75" customHeight="1">
      <c r="C20" s="1"/>
    </row>
    <row r="21" spans="3:3" ht="15.75" customHeight="1">
      <c r="C21" s="1"/>
    </row>
    <row r="22" spans="3:3" ht="15.75" customHeight="1">
      <c r="C22" s="1"/>
    </row>
    <row r="23" spans="3:3" ht="15.75" customHeight="1">
      <c r="C23" s="1"/>
    </row>
    <row r="24" spans="3:3" ht="15.75" customHeight="1">
      <c r="C24" s="1"/>
    </row>
    <row r="25" spans="3:3" ht="15.75" customHeight="1">
      <c r="C25" s="1"/>
    </row>
    <row r="26" spans="3:3" ht="15.75" customHeight="1">
      <c r="C26" s="1"/>
    </row>
    <row r="27" spans="3:3" ht="15.75" customHeight="1">
      <c r="C27" s="1"/>
    </row>
    <row r="28" spans="3:3" ht="15.75" customHeight="1">
      <c r="C28" s="1"/>
    </row>
    <row r="29" spans="3:3" ht="15.75" customHeight="1">
      <c r="C29" s="1"/>
    </row>
    <row r="30" spans="3:3" ht="12.45">
      <c r="C30" s="1"/>
    </row>
    <row r="31" spans="3:3" ht="12.45">
      <c r="C31" s="1"/>
    </row>
    <row r="32" spans="3:3" ht="12.45">
      <c r="C32" s="1"/>
    </row>
    <row r="33" spans="3:3" ht="12.45">
      <c r="C33" s="1"/>
    </row>
    <row r="34" spans="3:3" ht="12.45">
      <c r="C34" s="1"/>
    </row>
    <row r="35" spans="3:3" ht="12.45">
      <c r="C35" s="1"/>
    </row>
    <row r="36" spans="3:3" ht="12.45">
      <c r="C36" s="1"/>
    </row>
    <row r="37" spans="3:3" ht="12.45">
      <c r="C37" s="1"/>
    </row>
    <row r="38" spans="3:3" ht="12.45">
      <c r="C38" s="1"/>
    </row>
    <row r="39" spans="3:3" ht="12.45">
      <c r="C39" s="1"/>
    </row>
    <row r="40" spans="3:3" ht="12.45">
      <c r="C40" s="1"/>
    </row>
    <row r="41" spans="3:3" ht="12.45">
      <c r="C41" s="1"/>
    </row>
    <row r="42" spans="3:3" ht="12.45">
      <c r="C42" s="1"/>
    </row>
    <row r="43" spans="3:3" ht="12.45">
      <c r="C43" s="1"/>
    </row>
    <row r="44" spans="3:3" ht="12.45">
      <c r="C44" s="1"/>
    </row>
    <row r="45" spans="3:3" ht="12.45">
      <c r="C45" s="1"/>
    </row>
    <row r="46" spans="3:3" ht="12.45">
      <c r="C46" s="1"/>
    </row>
    <row r="47" spans="3:3" ht="12.45">
      <c r="C47" s="1"/>
    </row>
    <row r="48" spans="3:3" ht="12.45">
      <c r="C48" s="1"/>
    </row>
    <row r="49" spans="3:3" ht="12.45">
      <c r="C49" s="1"/>
    </row>
    <row r="50" spans="3:3" ht="12.45">
      <c r="C50" s="1"/>
    </row>
    <row r="51" spans="3:3" ht="12.45">
      <c r="C51" s="1"/>
    </row>
    <row r="52" spans="3:3" ht="12.45">
      <c r="C52" s="1"/>
    </row>
    <row r="53" spans="3:3" ht="12.45">
      <c r="C53" s="1"/>
    </row>
    <row r="54" spans="3:3" ht="12.45">
      <c r="C54" s="1"/>
    </row>
    <row r="55" spans="3:3" ht="12.45">
      <c r="C55" s="1"/>
    </row>
    <row r="56" spans="3:3" ht="12.45">
      <c r="C56" s="1"/>
    </row>
    <row r="57" spans="3:3" ht="12.45">
      <c r="C57" s="1"/>
    </row>
    <row r="58" spans="3:3" ht="12.45">
      <c r="C58" s="1"/>
    </row>
    <row r="59" spans="3:3" ht="12.45">
      <c r="C59" s="1"/>
    </row>
    <row r="60" spans="3:3" ht="12.45">
      <c r="C60" s="1"/>
    </row>
    <row r="61" spans="3:3" ht="12.45">
      <c r="C61" s="1"/>
    </row>
    <row r="62" spans="3:3" ht="12.45">
      <c r="C62" s="1"/>
    </row>
    <row r="63" spans="3:3" ht="12.45">
      <c r="C63" s="1"/>
    </row>
    <row r="64" spans="3:3" ht="12.45">
      <c r="C64" s="1"/>
    </row>
    <row r="65" spans="3:3" ht="12.45">
      <c r="C65" s="1"/>
    </row>
    <row r="66" spans="3:3" ht="12.45">
      <c r="C66" s="1"/>
    </row>
    <row r="67" spans="3:3" ht="12.45">
      <c r="C67" s="1"/>
    </row>
    <row r="68" spans="3:3" ht="12.45">
      <c r="C68" s="1"/>
    </row>
    <row r="69" spans="3:3" ht="12.45">
      <c r="C69" s="1"/>
    </row>
    <row r="70" spans="3:3" ht="12.45">
      <c r="C70" s="1"/>
    </row>
    <row r="71" spans="3:3" ht="12.45">
      <c r="C71" s="1"/>
    </row>
    <row r="72" spans="3:3" ht="12.45">
      <c r="C72" s="1"/>
    </row>
    <row r="73" spans="3:3" ht="12.45">
      <c r="C73" s="1"/>
    </row>
    <row r="74" spans="3:3" ht="12.45">
      <c r="C74" s="1"/>
    </row>
    <row r="75" spans="3:3" ht="12.45">
      <c r="C75" s="1"/>
    </row>
    <row r="76" spans="3:3" ht="12.45">
      <c r="C76" s="1"/>
    </row>
    <row r="77" spans="3:3" ht="12.45">
      <c r="C77" s="1"/>
    </row>
    <row r="78" spans="3:3" ht="12.45">
      <c r="C78" s="1"/>
    </row>
    <row r="79" spans="3:3" ht="12.45">
      <c r="C79" s="1"/>
    </row>
    <row r="80" spans="3:3" ht="12.45">
      <c r="C80" s="1"/>
    </row>
    <row r="81" spans="3:3" ht="12.45">
      <c r="C81" s="1"/>
    </row>
    <row r="82" spans="3:3" ht="12.45">
      <c r="C82" s="1"/>
    </row>
    <row r="83" spans="3:3" ht="12.45">
      <c r="C83" s="1"/>
    </row>
    <row r="84" spans="3:3" ht="12.45">
      <c r="C84" s="1"/>
    </row>
    <row r="85" spans="3:3" ht="12.45">
      <c r="C85" s="1"/>
    </row>
    <row r="86" spans="3:3" ht="12.45">
      <c r="C86" s="1"/>
    </row>
    <row r="87" spans="3:3" ht="12.45">
      <c r="C87" s="1"/>
    </row>
    <row r="88" spans="3:3" ht="12.45">
      <c r="C88" s="1"/>
    </row>
    <row r="89" spans="3:3" ht="12.45">
      <c r="C89" s="1"/>
    </row>
    <row r="90" spans="3:3" ht="12.45">
      <c r="C90" s="1"/>
    </row>
    <row r="91" spans="3:3" ht="12.45">
      <c r="C91" s="1"/>
    </row>
    <row r="92" spans="3:3" ht="12.45">
      <c r="C92" s="1"/>
    </row>
    <row r="93" spans="3:3" ht="12.45">
      <c r="C93" s="1"/>
    </row>
    <row r="94" spans="3:3" ht="12.45">
      <c r="C94" s="1"/>
    </row>
    <row r="95" spans="3:3" ht="12.45">
      <c r="C95" s="1"/>
    </row>
    <row r="96" spans="3:3" ht="12.45">
      <c r="C96" s="1"/>
    </row>
    <row r="97" spans="3:3" ht="12.45">
      <c r="C97" s="1"/>
    </row>
    <row r="98" spans="3:3" ht="12.45">
      <c r="C98" s="1"/>
    </row>
    <row r="99" spans="3:3" ht="12.45">
      <c r="C99" s="1"/>
    </row>
    <row r="100" spans="3:3" ht="12.45">
      <c r="C100" s="1"/>
    </row>
    <row r="101" spans="3:3" ht="12.45">
      <c r="C101" s="1"/>
    </row>
    <row r="102" spans="3:3" ht="12.45">
      <c r="C102" s="1"/>
    </row>
    <row r="103" spans="3:3" ht="12.45">
      <c r="C103" s="1"/>
    </row>
    <row r="104" spans="3:3" ht="12.45">
      <c r="C104" s="1"/>
    </row>
    <row r="105" spans="3:3" ht="12.45">
      <c r="C105" s="1"/>
    </row>
    <row r="106" spans="3:3" ht="12.45">
      <c r="C106" s="1"/>
    </row>
    <row r="107" spans="3:3" ht="12.45">
      <c r="C107" s="1"/>
    </row>
    <row r="108" spans="3:3" ht="12.45">
      <c r="C108" s="1"/>
    </row>
    <row r="109" spans="3:3" ht="12.45">
      <c r="C109" s="1"/>
    </row>
    <row r="110" spans="3:3" ht="12.45">
      <c r="C110" s="1"/>
    </row>
    <row r="111" spans="3:3" ht="12.45">
      <c r="C111" s="1"/>
    </row>
    <row r="112" spans="3:3" ht="12.45">
      <c r="C112" s="1"/>
    </row>
    <row r="113" spans="3:3" ht="12.45">
      <c r="C113" s="1"/>
    </row>
    <row r="114" spans="3:3" ht="12.45">
      <c r="C114" s="1"/>
    </row>
    <row r="115" spans="3:3" ht="12.45">
      <c r="C115" s="1"/>
    </row>
    <row r="116" spans="3:3" ht="12.45">
      <c r="C116" s="1"/>
    </row>
    <row r="117" spans="3:3" ht="12.45">
      <c r="C117" s="1"/>
    </row>
    <row r="118" spans="3:3" ht="12.45">
      <c r="C118" s="1"/>
    </row>
    <row r="119" spans="3:3" ht="12.45">
      <c r="C119" s="1"/>
    </row>
    <row r="120" spans="3:3" ht="12.45">
      <c r="C120" s="1"/>
    </row>
    <row r="121" spans="3:3" ht="12.45">
      <c r="C121" s="1"/>
    </row>
    <row r="122" spans="3:3" ht="12.45">
      <c r="C122" s="1"/>
    </row>
    <row r="123" spans="3:3" ht="12.45">
      <c r="C123" s="1"/>
    </row>
    <row r="124" spans="3:3" ht="12.45">
      <c r="C124" s="1"/>
    </row>
    <row r="125" spans="3:3" ht="12.45">
      <c r="C125" s="1"/>
    </row>
    <row r="126" spans="3:3" ht="12.45">
      <c r="C126" s="1"/>
    </row>
    <row r="127" spans="3:3" ht="12.45">
      <c r="C127" s="1"/>
    </row>
    <row r="128" spans="3:3" ht="12.45">
      <c r="C128" s="1"/>
    </row>
    <row r="129" spans="3:3" ht="12.45">
      <c r="C129" s="1"/>
    </row>
    <row r="130" spans="3:3" ht="12.45">
      <c r="C130" s="1"/>
    </row>
    <row r="131" spans="3:3" ht="12.45">
      <c r="C131" s="1"/>
    </row>
    <row r="132" spans="3:3" ht="12.45">
      <c r="C132" s="1"/>
    </row>
    <row r="133" spans="3:3" ht="12.45">
      <c r="C133" s="1"/>
    </row>
    <row r="134" spans="3:3" ht="12.45">
      <c r="C134" s="1"/>
    </row>
    <row r="135" spans="3:3" ht="12.45">
      <c r="C135" s="1"/>
    </row>
    <row r="136" spans="3:3" ht="12.45">
      <c r="C136" s="1"/>
    </row>
    <row r="137" spans="3:3" ht="12.45">
      <c r="C137" s="1"/>
    </row>
    <row r="138" spans="3:3" ht="12.45">
      <c r="C138" s="1"/>
    </row>
    <row r="139" spans="3:3" ht="12.45">
      <c r="C139" s="1"/>
    </row>
    <row r="140" spans="3:3" ht="12.45">
      <c r="C140" s="1"/>
    </row>
    <row r="141" spans="3:3" ht="12.45">
      <c r="C141" s="1"/>
    </row>
    <row r="142" spans="3:3" ht="12.45">
      <c r="C142" s="1"/>
    </row>
    <row r="143" spans="3:3" ht="12.45">
      <c r="C143" s="1"/>
    </row>
    <row r="144" spans="3:3" ht="12.45">
      <c r="C144" s="1"/>
    </row>
    <row r="145" spans="3:3" ht="12.45">
      <c r="C145" s="1"/>
    </row>
    <row r="146" spans="3:3" ht="12.45">
      <c r="C146" s="1"/>
    </row>
    <row r="147" spans="3:3" ht="12.45">
      <c r="C147" s="1"/>
    </row>
    <row r="148" spans="3:3" ht="12.45">
      <c r="C148" s="1"/>
    </row>
    <row r="149" spans="3:3" ht="12.45">
      <c r="C149" s="1"/>
    </row>
    <row r="150" spans="3:3" ht="12.45">
      <c r="C150" s="1"/>
    </row>
    <row r="151" spans="3:3" ht="12.45">
      <c r="C151" s="1"/>
    </row>
    <row r="152" spans="3:3" ht="12.45">
      <c r="C152" s="1"/>
    </row>
    <row r="153" spans="3:3" ht="12.45">
      <c r="C153" s="1"/>
    </row>
    <row r="154" spans="3:3" ht="12.45">
      <c r="C154" s="1"/>
    </row>
    <row r="155" spans="3:3" ht="12.45">
      <c r="C155" s="1"/>
    </row>
    <row r="156" spans="3:3" ht="12.45">
      <c r="C156" s="1"/>
    </row>
    <row r="157" spans="3:3" ht="12.45">
      <c r="C157" s="1"/>
    </row>
    <row r="158" spans="3:3" ht="12.45">
      <c r="C158" s="1"/>
    </row>
    <row r="159" spans="3:3" ht="12.45">
      <c r="C159" s="1"/>
    </row>
    <row r="160" spans="3:3" ht="12.45">
      <c r="C160" s="1"/>
    </row>
    <row r="161" spans="3:3" ht="12.45">
      <c r="C161" s="1"/>
    </row>
    <row r="162" spans="3:3" ht="12.45">
      <c r="C162" s="1"/>
    </row>
    <row r="163" spans="3:3" ht="12.45">
      <c r="C163" s="1"/>
    </row>
    <row r="164" spans="3:3" ht="12.45">
      <c r="C164" s="1"/>
    </row>
    <row r="165" spans="3:3" ht="12.45">
      <c r="C165" s="1"/>
    </row>
    <row r="166" spans="3:3" ht="12.45">
      <c r="C166" s="1"/>
    </row>
    <row r="167" spans="3:3" ht="12.45">
      <c r="C167" s="1"/>
    </row>
    <row r="168" spans="3:3" ht="12.45">
      <c r="C168" s="1"/>
    </row>
    <row r="169" spans="3:3" ht="12.45">
      <c r="C169" s="1"/>
    </row>
    <row r="170" spans="3:3" ht="12.45">
      <c r="C170" s="1"/>
    </row>
    <row r="171" spans="3:3" ht="12.45">
      <c r="C171" s="1"/>
    </row>
    <row r="172" spans="3:3" ht="12.45">
      <c r="C172" s="1"/>
    </row>
    <row r="173" spans="3:3" ht="12.45">
      <c r="C173" s="1"/>
    </row>
    <row r="174" spans="3:3" ht="12.45">
      <c r="C174" s="1"/>
    </row>
    <row r="175" spans="3:3" ht="12.45">
      <c r="C175" s="1"/>
    </row>
    <row r="176" spans="3:3" ht="12.45">
      <c r="C176" s="1"/>
    </row>
    <row r="177" spans="3:3" ht="12.45">
      <c r="C177" s="1"/>
    </row>
    <row r="178" spans="3:3" ht="12.45">
      <c r="C178" s="1"/>
    </row>
    <row r="179" spans="3:3" ht="12.45">
      <c r="C179" s="1"/>
    </row>
    <row r="180" spans="3:3" ht="12.45">
      <c r="C180" s="1"/>
    </row>
    <row r="181" spans="3:3" ht="12.45">
      <c r="C181" s="1"/>
    </row>
    <row r="182" spans="3:3" ht="12.45">
      <c r="C182" s="1"/>
    </row>
    <row r="183" spans="3:3" ht="12.45">
      <c r="C183" s="1"/>
    </row>
    <row r="184" spans="3:3" ht="12.45">
      <c r="C184" s="1"/>
    </row>
    <row r="185" spans="3:3" ht="12.45">
      <c r="C185" s="1"/>
    </row>
    <row r="186" spans="3:3" ht="12.45">
      <c r="C186" s="1"/>
    </row>
    <row r="187" spans="3:3" ht="12.45">
      <c r="C187" s="1"/>
    </row>
    <row r="188" spans="3:3" ht="12.45">
      <c r="C188" s="1"/>
    </row>
    <row r="189" spans="3:3" ht="12.45">
      <c r="C189" s="1"/>
    </row>
    <row r="190" spans="3:3" ht="12.45">
      <c r="C190" s="1"/>
    </row>
    <row r="191" spans="3:3" ht="12.45">
      <c r="C191" s="1"/>
    </row>
    <row r="192" spans="3:3" ht="12.45">
      <c r="C192" s="1"/>
    </row>
    <row r="193" spans="3:3" ht="12.45">
      <c r="C193" s="1"/>
    </row>
    <row r="194" spans="3:3" ht="12.45">
      <c r="C194" s="1"/>
    </row>
    <row r="195" spans="3:3" ht="12.45">
      <c r="C195" s="1"/>
    </row>
    <row r="196" spans="3:3" ht="12.45">
      <c r="C196" s="1"/>
    </row>
    <row r="197" spans="3:3" ht="12.45">
      <c r="C197" s="1"/>
    </row>
    <row r="198" spans="3:3" ht="12.45">
      <c r="C198" s="1"/>
    </row>
    <row r="199" spans="3:3" ht="12.45">
      <c r="C199" s="1"/>
    </row>
    <row r="200" spans="3:3" ht="12.45">
      <c r="C200" s="1"/>
    </row>
    <row r="201" spans="3:3" ht="12.45">
      <c r="C201" s="1"/>
    </row>
    <row r="202" spans="3:3" ht="12.45">
      <c r="C202" s="1"/>
    </row>
    <row r="203" spans="3:3" ht="12.45">
      <c r="C203" s="1"/>
    </row>
    <row r="204" spans="3:3" ht="12.45">
      <c r="C204" s="1"/>
    </row>
    <row r="205" spans="3:3" ht="12.45">
      <c r="C205" s="1"/>
    </row>
    <row r="206" spans="3:3" ht="12.45">
      <c r="C206" s="1"/>
    </row>
    <row r="207" spans="3:3" ht="12.45">
      <c r="C207" s="1"/>
    </row>
    <row r="208" spans="3:3" ht="12.45">
      <c r="C208" s="1"/>
    </row>
    <row r="209" spans="3:3" ht="12.45">
      <c r="C209" s="1"/>
    </row>
    <row r="210" spans="3:3" ht="12.45">
      <c r="C210" s="1"/>
    </row>
    <row r="211" spans="3:3" ht="12.45">
      <c r="C211" s="1"/>
    </row>
    <row r="212" spans="3:3" ht="12.45">
      <c r="C212" s="1"/>
    </row>
    <row r="213" spans="3:3" ht="12.45">
      <c r="C213" s="1"/>
    </row>
    <row r="214" spans="3:3" ht="12.45">
      <c r="C214" s="1"/>
    </row>
    <row r="215" spans="3:3" ht="12.45">
      <c r="C215" s="1"/>
    </row>
    <row r="216" spans="3:3" ht="12.45">
      <c r="C216" s="1"/>
    </row>
    <row r="217" spans="3:3" ht="12.45">
      <c r="C217" s="1"/>
    </row>
    <row r="218" spans="3:3" ht="12.45">
      <c r="C218" s="1"/>
    </row>
    <row r="219" spans="3:3" ht="12.45">
      <c r="C219" s="1"/>
    </row>
    <row r="220" spans="3:3" ht="12.45">
      <c r="C220" s="1"/>
    </row>
    <row r="221" spans="3:3" ht="12.45">
      <c r="C221" s="1"/>
    </row>
    <row r="222" spans="3:3" ht="12.45">
      <c r="C222" s="1"/>
    </row>
    <row r="223" spans="3:3" ht="12.45">
      <c r="C223" s="1"/>
    </row>
    <row r="224" spans="3:3" ht="12.45">
      <c r="C224" s="1"/>
    </row>
    <row r="225" spans="3:3" ht="12.45">
      <c r="C225" s="1"/>
    </row>
    <row r="226" spans="3:3" ht="12.45">
      <c r="C226" s="1"/>
    </row>
    <row r="227" spans="3:3" ht="12.45">
      <c r="C227" s="1"/>
    </row>
    <row r="228" spans="3:3" ht="12.45">
      <c r="C228" s="1"/>
    </row>
    <row r="229" spans="3:3" ht="12.45">
      <c r="C229" s="1"/>
    </row>
    <row r="230" spans="3:3" ht="12.45">
      <c r="C230" s="1"/>
    </row>
    <row r="231" spans="3:3" ht="12.45">
      <c r="C231" s="1"/>
    </row>
    <row r="232" spans="3:3" ht="12.45">
      <c r="C232" s="1"/>
    </row>
    <row r="233" spans="3:3" ht="12.45">
      <c r="C233" s="1"/>
    </row>
    <row r="234" spans="3:3" ht="12.45">
      <c r="C234" s="1"/>
    </row>
    <row r="235" spans="3:3" ht="12.45">
      <c r="C235" s="1"/>
    </row>
    <row r="236" spans="3:3" ht="12.45">
      <c r="C236" s="1"/>
    </row>
    <row r="237" spans="3:3" ht="12.45">
      <c r="C237" s="1"/>
    </row>
    <row r="238" spans="3:3" ht="12.45">
      <c r="C238" s="1"/>
    </row>
    <row r="239" spans="3:3" ht="12.45">
      <c r="C239" s="1"/>
    </row>
    <row r="240" spans="3:3" ht="12.45">
      <c r="C240" s="1"/>
    </row>
    <row r="241" spans="3:3" ht="12.45">
      <c r="C241" s="1"/>
    </row>
    <row r="242" spans="3:3" ht="12.45">
      <c r="C242" s="1"/>
    </row>
    <row r="243" spans="3:3" ht="12.45">
      <c r="C243" s="1"/>
    </row>
    <row r="244" spans="3:3" ht="12.45">
      <c r="C244" s="1"/>
    </row>
    <row r="245" spans="3:3" ht="12.45">
      <c r="C245" s="1"/>
    </row>
    <row r="246" spans="3:3" ht="12.45">
      <c r="C246" s="1"/>
    </row>
    <row r="247" spans="3:3" ht="12.45">
      <c r="C247" s="1"/>
    </row>
    <row r="248" spans="3:3" ht="12.45">
      <c r="C248" s="1"/>
    </row>
    <row r="249" spans="3:3" ht="12.45">
      <c r="C249" s="1"/>
    </row>
    <row r="250" spans="3:3" ht="12.45">
      <c r="C250" s="1"/>
    </row>
    <row r="251" spans="3:3" ht="12.45">
      <c r="C251" s="1"/>
    </row>
    <row r="252" spans="3:3" ht="12.45">
      <c r="C252" s="1"/>
    </row>
    <row r="253" spans="3:3" ht="12.45">
      <c r="C253" s="1"/>
    </row>
    <row r="254" spans="3:3" ht="12.45">
      <c r="C254" s="1"/>
    </row>
    <row r="255" spans="3:3" ht="12.45">
      <c r="C255" s="1"/>
    </row>
    <row r="256" spans="3:3" ht="12.45">
      <c r="C256" s="1"/>
    </row>
    <row r="257" spans="3:3" ht="12.45">
      <c r="C257" s="1"/>
    </row>
    <row r="258" spans="3:3" ht="12.45">
      <c r="C258" s="1"/>
    </row>
    <row r="259" spans="3:3" ht="12.45">
      <c r="C259" s="1"/>
    </row>
    <row r="260" spans="3:3" ht="12.45">
      <c r="C260" s="1"/>
    </row>
    <row r="261" spans="3:3" ht="12.45">
      <c r="C261" s="1"/>
    </row>
    <row r="262" spans="3:3" ht="12.45">
      <c r="C262" s="1"/>
    </row>
    <row r="263" spans="3:3" ht="12.45">
      <c r="C263" s="1"/>
    </row>
    <row r="264" spans="3:3" ht="12.45">
      <c r="C264" s="1"/>
    </row>
    <row r="265" spans="3:3" ht="12.45">
      <c r="C265" s="1"/>
    </row>
    <row r="266" spans="3:3" ht="12.45">
      <c r="C266" s="1"/>
    </row>
    <row r="267" spans="3:3" ht="12.45">
      <c r="C267" s="1"/>
    </row>
    <row r="268" spans="3:3" ht="12.45">
      <c r="C268" s="1"/>
    </row>
    <row r="269" spans="3:3" ht="12.45">
      <c r="C269" s="1"/>
    </row>
    <row r="270" spans="3:3" ht="12.45">
      <c r="C270" s="1"/>
    </row>
    <row r="271" spans="3:3" ht="12.45">
      <c r="C271" s="1"/>
    </row>
    <row r="272" spans="3:3" ht="12.45">
      <c r="C272" s="1"/>
    </row>
    <row r="273" spans="3:3" ht="12.45">
      <c r="C273" s="1"/>
    </row>
    <row r="274" spans="3:3" ht="12.45">
      <c r="C274" s="1"/>
    </row>
    <row r="275" spans="3:3" ht="12.45">
      <c r="C275" s="1"/>
    </row>
    <row r="276" spans="3:3" ht="12.45">
      <c r="C276" s="1"/>
    </row>
    <row r="277" spans="3:3" ht="12.45">
      <c r="C277" s="1"/>
    </row>
    <row r="278" spans="3:3" ht="12.45">
      <c r="C278" s="1"/>
    </row>
    <row r="279" spans="3:3" ht="12.45">
      <c r="C279" s="1"/>
    </row>
    <row r="280" spans="3:3" ht="12.45">
      <c r="C280" s="1"/>
    </row>
    <row r="281" spans="3:3" ht="12.45">
      <c r="C281" s="1"/>
    </row>
    <row r="282" spans="3:3" ht="12.45">
      <c r="C282" s="1"/>
    </row>
    <row r="283" spans="3:3" ht="12.45">
      <c r="C283" s="1"/>
    </row>
    <row r="284" spans="3:3" ht="12.45">
      <c r="C284" s="1"/>
    </row>
    <row r="285" spans="3:3" ht="12.45">
      <c r="C285" s="1"/>
    </row>
    <row r="286" spans="3:3" ht="12.45">
      <c r="C286" s="1"/>
    </row>
    <row r="287" spans="3:3" ht="12.45">
      <c r="C287" s="1"/>
    </row>
    <row r="288" spans="3:3" ht="12.45">
      <c r="C288" s="1"/>
    </row>
    <row r="289" spans="3:3" ht="12.45">
      <c r="C289" s="1"/>
    </row>
    <row r="290" spans="3:3" ht="12.45">
      <c r="C290" s="1"/>
    </row>
    <row r="291" spans="3:3" ht="12.45">
      <c r="C291" s="1"/>
    </row>
    <row r="292" spans="3:3" ht="12.45">
      <c r="C292" s="1"/>
    </row>
    <row r="293" spans="3:3" ht="12.45">
      <c r="C293" s="1"/>
    </row>
    <row r="294" spans="3:3" ht="12.45">
      <c r="C294" s="1"/>
    </row>
    <row r="295" spans="3:3" ht="12.45">
      <c r="C295" s="1"/>
    </row>
    <row r="296" spans="3:3" ht="12.45">
      <c r="C296" s="1"/>
    </row>
    <row r="297" spans="3:3" ht="12.45">
      <c r="C297" s="1"/>
    </row>
    <row r="298" spans="3:3" ht="12.45">
      <c r="C298" s="1"/>
    </row>
    <row r="299" spans="3:3" ht="12.45">
      <c r="C299" s="1"/>
    </row>
    <row r="300" spans="3:3" ht="12.45">
      <c r="C300" s="1"/>
    </row>
    <row r="301" spans="3:3" ht="12.45">
      <c r="C301" s="1"/>
    </row>
    <row r="302" spans="3:3" ht="12.45">
      <c r="C302" s="1"/>
    </row>
    <row r="303" spans="3:3" ht="12.45">
      <c r="C303" s="1"/>
    </row>
    <row r="304" spans="3:3" ht="12.45">
      <c r="C304" s="1"/>
    </row>
    <row r="305" spans="3:3" ht="12.45">
      <c r="C305" s="1"/>
    </row>
    <row r="306" spans="3:3" ht="12.45">
      <c r="C306" s="1"/>
    </row>
    <row r="307" spans="3:3" ht="12.45">
      <c r="C307" s="1"/>
    </row>
    <row r="308" spans="3:3" ht="12.45">
      <c r="C308" s="1"/>
    </row>
    <row r="309" spans="3:3" ht="12.45">
      <c r="C309" s="1"/>
    </row>
    <row r="310" spans="3:3" ht="12.45">
      <c r="C310" s="1"/>
    </row>
    <row r="311" spans="3:3" ht="12.45">
      <c r="C311" s="1"/>
    </row>
    <row r="312" spans="3:3" ht="12.45">
      <c r="C312" s="1"/>
    </row>
    <row r="313" spans="3:3" ht="12.45">
      <c r="C313" s="1"/>
    </row>
    <row r="314" spans="3:3" ht="12.45">
      <c r="C314" s="1"/>
    </row>
    <row r="315" spans="3:3" ht="12.45">
      <c r="C315" s="1"/>
    </row>
    <row r="316" spans="3:3" ht="12.45">
      <c r="C316" s="1"/>
    </row>
    <row r="317" spans="3:3" ht="12.45">
      <c r="C317" s="1"/>
    </row>
    <row r="318" spans="3:3" ht="12.45">
      <c r="C318" s="1"/>
    </row>
    <row r="319" spans="3:3" ht="12.45">
      <c r="C319" s="1"/>
    </row>
    <row r="320" spans="3:3" ht="12.45">
      <c r="C320" s="1"/>
    </row>
    <row r="321" spans="3:3" ht="12.45">
      <c r="C321" s="1"/>
    </row>
    <row r="322" spans="3:3" ht="12.45">
      <c r="C322" s="1"/>
    </row>
    <row r="323" spans="3:3" ht="12.45">
      <c r="C323" s="1"/>
    </row>
    <row r="324" spans="3:3" ht="12.45">
      <c r="C324" s="1"/>
    </row>
    <row r="325" spans="3:3" ht="12.45">
      <c r="C325" s="1"/>
    </row>
    <row r="326" spans="3:3" ht="12.45">
      <c r="C326" s="1"/>
    </row>
    <row r="327" spans="3:3" ht="12.45">
      <c r="C327" s="1"/>
    </row>
    <row r="328" spans="3:3" ht="12.45">
      <c r="C328" s="1"/>
    </row>
    <row r="329" spans="3:3" ht="12.45">
      <c r="C329" s="1"/>
    </row>
    <row r="330" spans="3:3" ht="12.45">
      <c r="C330" s="1"/>
    </row>
    <row r="331" spans="3:3" ht="12.45">
      <c r="C331" s="1"/>
    </row>
    <row r="332" spans="3:3" ht="12.45">
      <c r="C332" s="1"/>
    </row>
    <row r="333" spans="3:3" ht="12.45">
      <c r="C333" s="1"/>
    </row>
    <row r="334" spans="3:3" ht="12.45">
      <c r="C334" s="1"/>
    </row>
    <row r="335" spans="3:3" ht="12.45">
      <c r="C335" s="1"/>
    </row>
    <row r="336" spans="3:3" ht="12.45">
      <c r="C336" s="1"/>
    </row>
    <row r="337" spans="3:3" ht="12.45">
      <c r="C337" s="1"/>
    </row>
    <row r="338" spans="3:3" ht="12.45">
      <c r="C338" s="1"/>
    </row>
    <row r="339" spans="3:3" ht="12.45">
      <c r="C339" s="1"/>
    </row>
    <row r="340" spans="3:3" ht="12.45">
      <c r="C340" s="1"/>
    </row>
    <row r="341" spans="3:3" ht="12.45">
      <c r="C341" s="1"/>
    </row>
    <row r="342" spans="3:3" ht="12.45">
      <c r="C342" s="1"/>
    </row>
    <row r="343" spans="3:3" ht="12.45">
      <c r="C343" s="1"/>
    </row>
    <row r="344" spans="3:3" ht="12.45">
      <c r="C344" s="1"/>
    </row>
    <row r="345" spans="3:3" ht="12.45">
      <c r="C345" s="1"/>
    </row>
    <row r="346" spans="3:3" ht="12.45">
      <c r="C346" s="1"/>
    </row>
    <row r="347" spans="3:3" ht="12.45">
      <c r="C347" s="1"/>
    </row>
    <row r="348" spans="3:3" ht="12.45">
      <c r="C348" s="1"/>
    </row>
    <row r="349" spans="3:3" ht="12.45">
      <c r="C349" s="1"/>
    </row>
    <row r="350" spans="3:3" ht="12.45">
      <c r="C350" s="1"/>
    </row>
    <row r="351" spans="3:3" ht="12.45">
      <c r="C351" s="1"/>
    </row>
    <row r="352" spans="3:3" ht="12.45">
      <c r="C352" s="1"/>
    </row>
    <row r="353" spans="3:3" ht="12.45">
      <c r="C353" s="1"/>
    </row>
    <row r="354" spans="3:3" ht="12.45">
      <c r="C354" s="1"/>
    </row>
    <row r="355" spans="3:3" ht="12.45">
      <c r="C355" s="1"/>
    </row>
    <row r="356" spans="3:3" ht="12.45">
      <c r="C356" s="1"/>
    </row>
    <row r="357" spans="3:3" ht="12.45">
      <c r="C357" s="1"/>
    </row>
    <row r="358" spans="3:3" ht="12.45">
      <c r="C358" s="1"/>
    </row>
    <row r="359" spans="3:3" ht="12.45">
      <c r="C359" s="1"/>
    </row>
    <row r="360" spans="3:3" ht="12.45">
      <c r="C360" s="1"/>
    </row>
    <row r="361" spans="3:3" ht="12.45">
      <c r="C361" s="1"/>
    </row>
    <row r="362" spans="3:3" ht="12.45">
      <c r="C362" s="1"/>
    </row>
    <row r="363" spans="3:3" ht="12.45">
      <c r="C363" s="1"/>
    </row>
    <row r="364" spans="3:3" ht="12.45">
      <c r="C364" s="1"/>
    </row>
    <row r="365" spans="3:3" ht="12.45">
      <c r="C365" s="1"/>
    </row>
    <row r="366" spans="3:3" ht="12.45">
      <c r="C366" s="1"/>
    </row>
    <row r="367" spans="3:3" ht="12.45">
      <c r="C367" s="1"/>
    </row>
    <row r="368" spans="3:3" ht="12.45">
      <c r="C368" s="1"/>
    </row>
    <row r="369" spans="3:3" ht="12.45">
      <c r="C369" s="1"/>
    </row>
    <row r="370" spans="3:3" ht="12.45">
      <c r="C370" s="1"/>
    </row>
    <row r="371" spans="3:3" ht="12.45">
      <c r="C371" s="1"/>
    </row>
    <row r="372" spans="3:3" ht="12.45">
      <c r="C372" s="1"/>
    </row>
    <row r="373" spans="3:3" ht="12.45">
      <c r="C373" s="1"/>
    </row>
    <row r="374" spans="3:3" ht="12.45">
      <c r="C374" s="1"/>
    </row>
    <row r="375" spans="3:3" ht="12.45">
      <c r="C375" s="1"/>
    </row>
    <row r="376" spans="3:3" ht="12.45">
      <c r="C376" s="1"/>
    </row>
    <row r="377" spans="3:3" ht="12.45">
      <c r="C377" s="1"/>
    </row>
    <row r="378" spans="3:3" ht="12.45">
      <c r="C378" s="1"/>
    </row>
    <row r="379" spans="3:3" ht="12.45">
      <c r="C379" s="1"/>
    </row>
    <row r="380" spans="3:3" ht="12.45">
      <c r="C380" s="1"/>
    </row>
    <row r="381" spans="3:3" ht="12.45">
      <c r="C381" s="1"/>
    </row>
    <row r="382" spans="3:3" ht="12.45">
      <c r="C382" s="1"/>
    </row>
    <row r="383" spans="3:3" ht="12.45">
      <c r="C383" s="1"/>
    </row>
    <row r="384" spans="3:3" ht="12.45">
      <c r="C384" s="1"/>
    </row>
    <row r="385" spans="3:3" ht="12.45">
      <c r="C385" s="1"/>
    </row>
    <row r="386" spans="3:3" ht="12.45">
      <c r="C386" s="1"/>
    </row>
    <row r="387" spans="3:3" ht="12.45">
      <c r="C387" s="1"/>
    </row>
    <row r="388" spans="3:3" ht="12.45">
      <c r="C388" s="1"/>
    </row>
    <row r="389" spans="3:3" ht="12.45">
      <c r="C389" s="1"/>
    </row>
    <row r="390" spans="3:3" ht="12.45">
      <c r="C390" s="1"/>
    </row>
    <row r="391" spans="3:3" ht="12.45">
      <c r="C391" s="1"/>
    </row>
    <row r="392" spans="3:3" ht="12.45">
      <c r="C392" s="1"/>
    </row>
    <row r="393" spans="3:3" ht="12.45">
      <c r="C393" s="1"/>
    </row>
    <row r="394" spans="3:3" ht="12.45">
      <c r="C394" s="1"/>
    </row>
    <row r="395" spans="3:3" ht="12.45">
      <c r="C395" s="1"/>
    </row>
    <row r="396" spans="3:3" ht="12.45">
      <c r="C396" s="1"/>
    </row>
    <row r="397" spans="3:3" ht="12.45">
      <c r="C397" s="1"/>
    </row>
    <row r="398" spans="3:3" ht="12.45">
      <c r="C398" s="1"/>
    </row>
    <row r="399" spans="3:3" ht="12.45">
      <c r="C399" s="1"/>
    </row>
    <row r="400" spans="3:3" ht="12.45">
      <c r="C400" s="1"/>
    </row>
    <row r="401" spans="3:3" ht="12.45">
      <c r="C401" s="1"/>
    </row>
    <row r="402" spans="3:3" ht="12.45">
      <c r="C402" s="1"/>
    </row>
    <row r="403" spans="3:3" ht="12.45">
      <c r="C403" s="1"/>
    </row>
    <row r="404" spans="3:3" ht="12.45">
      <c r="C404" s="1"/>
    </row>
    <row r="405" spans="3:3" ht="12.45">
      <c r="C405" s="1"/>
    </row>
    <row r="406" spans="3:3" ht="12.45">
      <c r="C406" s="1"/>
    </row>
    <row r="407" spans="3:3" ht="12.45">
      <c r="C407" s="1"/>
    </row>
    <row r="408" spans="3:3" ht="12.45">
      <c r="C408" s="1"/>
    </row>
    <row r="409" spans="3:3" ht="12.45">
      <c r="C409" s="1"/>
    </row>
    <row r="410" spans="3:3" ht="12.45">
      <c r="C410" s="1"/>
    </row>
    <row r="411" spans="3:3" ht="12.45">
      <c r="C411" s="1"/>
    </row>
    <row r="412" spans="3:3" ht="12.45">
      <c r="C412" s="1"/>
    </row>
    <row r="413" spans="3:3" ht="12.45">
      <c r="C413" s="1"/>
    </row>
    <row r="414" spans="3:3" ht="12.45">
      <c r="C414" s="1"/>
    </row>
    <row r="415" spans="3:3" ht="12.45">
      <c r="C415" s="1"/>
    </row>
    <row r="416" spans="3:3" ht="12.45">
      <c r="C416" s="1"/>
    </row>
    <row r="417" spans="3:3" ht="12.45">
      <c r="C417" s="1"/>
    </row>
    <row r="418" spans="3:3" ht="12.45">
      <c r="C418" s="1"/>
    </row>
    <row r="419" spans="3:3" ht="12.45">
      <c r="C419" s="1"/>
    </row>
    <row r="420" spans="3:3" ht="12.45">
      <c r="C420" s="1"/>
    </row>
    <row r="421" spans="3:3" ht="12.45">
      <c r="C421" s="1"/>
    </row>
    <row r="422" spans="3:3" ht="12.45">
      <c r="C422" s="1"/>
    </row>
    <row r="423" spans="3:3" ht="12.45">
      <c r="C423" s="1"/>
    </row>
    <row r="424" spans="3:3" ht="12.45">
      <c r="C424" s="1"/>
    </row>
    <row r="425" spans="3:3" ht="12.45">
      <c r="C425" s="1"/>
    </row>
    <row r="426" spans="3:3" ht="12.45">
      <c r="C426" s="1"/>
    </row>
    <row r="427" spans="3:3" ht="12.45">
      <c r="C427" s="1"/>
    </row>
    <row r="428" spans="3:3" ht="12.45">
      <c r="C428" s="1"/>
    </row>
    <row r="429" spans="3:3" ht="12.45">
      <c r="C429" s="1"/>
    </row>
    <row r="430" spans="3:3" ht="12.45">
      <c r="C430" s="1"/>
    </row>
    <row r="431" spans="3:3" ht="12.45">
      <c r="C431" s="1"/>
    </row>
    <row r="432" spans="3:3" ht="12.45">
      <c r="C432" s="1"/>
    </row>
    <row r="433" spans="3:3" ht="12.45">
      <c r="C433" s="1"/>
    </row>
    <row r="434" spans="3:3" ht="12.45">
      <c r="C434" s="1"/>
    </row>
    <row r="435" spans="3:3" ht="12.45">
      <c r="C435" s="1"/>
    </row>
    <row r="436" spans="3:3" ht="12.45">
      <c r="C436" s="1"/>
    </row>
    <row r="437" spans="3:3" ht="12.45">
      <c r="C437" s="1"/>
    </row>
    <row r="438" spans="3:3" ht="12.45">
      <c r="C438" s="1"/>
    </row>
    <row r="439" spans="3:3" ht="12.45">
      <c r="C439" s="1"/>
    </row>
    <row r="440" spans="3:3" ht="12.45">
      <c r="C440" s="1"/>
    </row>
    <row r="441" spans="3:3" ht="12.45">
      <c r="C441" s="1"/>
    </row>
    <row r="442" spans="3:3" ht="12.45">
      <c r="C442" s="1"/>
    </row>
    <row r="443" spans="3:3" ht="12.45">
      <c r="C443" s="1"/>
    </row>
    <row r="444" spans="3:3" ht="12.45">
      <c r="C444" s="1"/>
    </row>
    <row r="445" spans="3:3" ht="12.45">
      <c r="C445" s="1"/>
    </row>
    <row r="446" spans="3:3" ht="12.45">
      <c r="C446" s="1"/>
    </row>
    <row r="447" spans="3:3" ht="12.45">
      <c r="C447" s="1"/>
    </row>
    <row r="448" spans="3:3" ht="12.45">
      <c r="C448" s="1"/>
    </row>
    <row r="449" spans="3:3" ht="12.45">
      <c r="C449" s="1"/>
    </row>
    <row r="450" spans="3:3" ht="12.45">
      <c r="C450" s="1"/>
    </row>
    <row r="451" spans="3:3" ht="12.45">
      <c r="C451" s="1"/>
    </row>
    <row r="452" spans="3:3" ht="12.45">
      <c r="C452" s="1"/>
    </row>
    <row r="453" spans="3:3" ht="12.45">
      <c r="C453" s="1"/>
    </row>
    <row r="454" spans="3:3" ht="12.45">
      <c r="C454" s="1"/>
    </row>
    <row r="455" spans="3:3" ht="12.45">
      <c r="C455" s="1"/>
    </row>
    <row r="456" spans="3:3" ht="12.45">
      <c r="C456" s="1"/>
    </row>
    <row r="457" spans="3:3" ht="12.45">
      <c r="C457" s="1"/>
    </row>
    <row r="458" spans="3:3" ht="12.45">
      <c r="C458" s="1"/>
    </row>
    <row r="459" spans="3:3" ht="12.45">
      <c r="C459" s="1"/>
    </row>
    <row r="460" spans="3:3" ht="12.45">
      <c r="C460" s="1"/>
    </row>
    <row r="461" spans="3:3" ht="12.45">
      <c r="C461" s="1"/>
    </row>
    <row r="462" spans="3:3" ht="12.45">
      <c r="C462" s="1"/>
    </row>
    <row r="463" spans="3:3" ht="12.45">
      <c r="C463" s="1"/>
    </row>
    <row r="464" spans="3:3" ht="12.45">
      <c r="C464" s="1"/>
    </row>
    <row r="465" spans="3:3" ht="12.45">
      <c r="C465" s="1"/>
    </row>
    <row r="466" spans="3:3" ht="12.45">
      <c r="C466" s="1"/>
    </row>
    <row r="467" spans="3:3" ht="12.45">
      <c r="C467" s="1"/>
    </row>
    <row r="468" spans="3:3" ht="12.45">
      <c r="C468" s="1"/>
    </row>
    <row r="469" spans="3:3" ht="12.45">
      <c r="C469" s="1"/>
    </row>
    <row r="470" spans="3:3" ht="12.45">
      <c r="C470" s="1"/>
    </row>
    <row r="471" spans="3:3" ht="12.45">
      <c r="C471" s="1"/>
    </row>
    <row r="472" spans="3:3" ht="12.45">
      <c r="C472" s="1"/>
    </row>
    <row r="473" spans="3:3" ht="12.45">
      <c r="C473" s="1"/>
    </row>
    <row r="474" spans="3:3" ht="12.45">
      <c r="C474" s="1"/>
    </row>
    <row r="475" spans="3:3" ht="12.45">
      <c r="C475" s="1"/>
    </row>
    <row r="476" spans="3:3" ht="12.45">
      <c r="C476" s="1"/>
    </row>
    <row r="477" spans="3:3" ht="12.45">
      <c r="C477" s="1"/>
    </row>
    <row r="478" spans="3:3" ht="12.45">
      <c r="C478" s="1"/>
    </row>
    <row r="479" spans="3:3" ht="12.45">
      <c r="C479" s="1"/>
    </row>
    <row r="480" spans="3:3" ht="12.45">
      <c r="C480" s="1"/>
    </row>
    <row r="481" spans="3:3" ht="12.45">
      <c r="C481" s="1"/>
    </row>
    <row r="482" spans="3:3" ht="12.45">
      <c r="C482" s="1"/>
    </row>
    <row r="483" spans="3:3" ht="12.45">
      <c r="C483" s="1"/>
    </row>
    <row r="484" spans="3:3" ht="12.45">
      <c r="C484" s="1"/>
    </row>
    <row r="485" spans="3:3" ht="12.45">
      <c r="C485" s="1"/>
    </row>
    <row r="486" spans="3:3" ht="12.45">
      <c r="C486" s="1"/>
    </row>
    <row r="487" spans="3:3" ht="12.45">
      <c r="C487" s="1"/>
    </row>
    <row r="488" spans="3:3" ht="12.45">
      <c r="C488" s="1"/>
    </row>
    <row r="489" spans="3:3" ht="12.45">
      <c r="C489" s="1"/>
    </row>
    <row r="490" spans="3:3" ht="12.45">
      <c r="C490" s="1"/>
    </row>
    <row r="491" spans="3:3" ht="12.45">
      <c r="C491" s="1"/>
    </row>
    <row r="492" spans="3:3" ht="12.45">
      <c r="C492" s="1"/>
    </row>
    <row r="493" spans="3:3" ht="12.45">
      <c r="C493" s="1"/>
    </row>
    <row r="494" spans="3:3" ht="12.45">
      <c r="C494" s="1"/>
    </row>
    <row r="495" spans="3:3" ht="12.45">
      <c r="C495" s="1"/>
    </row>
    <row r="496" spans="3:3" ht="12.45">
      <c r="C496" s="1"/>
    </row>
    <row r="497" spans="3:3" ht="12.45">
      <c r="C497" s="1"/>
    </row>
    <row r="498" spans="3:3" ht="12.45">
      <c r="C498" s="1"/>
    </row>
    <row r="499" spans="3:3" ht="12.45">
      <c r="C499" s="1"/>
    </row>
    <row r="500" spans="3:3" ht="12.45">
      <c r="C500" s="1"/>
    </row>
    <row r="501" spans="3:3" ht="12.45">
      <c r="C501" s="1"/>
    </row>
    <row r="502" spans="3:3" ht="12.45">
      <c r="C502" s="1"/>
    </row>
    <row r="503" spans="3:3" ht="12.45">
      <c r="C503" s="1"/>
    </row>
    <row r="504" spans="3:3" ht="12.45">
      <c r="C504" s="1"/>
    </row>
    <row r="505" spans="3:3" ht="12.45">
      <c r="C505" s="1"/>
    </row>
    <row r="506" spans="3:3" ht="12.45">
      <c r="C506" s="1"/>
    </row>
    <row r="507" spans="3:3" ht="12.45">
      <c r="C507" s="1"/>
    </row>
    <row r="508" spans="3:3" ht="12.45">
      <c r="C508" s="1"/>
    </row>
    <row r="509" spans="3:3" ht="12.45">
      <c r="C509" s="1"/>
    </row>
    <row r="510" spans="3:3" ht="12.45">
      <c r="C510" s="1"/>
    </row>
    <row r="511" spans="3:3" ht="12.45">
      <c r="C511" s="1"/>
    </row>
    <row r="512" spans="3:3" ht="12.45">
      <c r="C512" s="1"/>
    </row>
    <row r="513" spans="3:3" ht="12.45">
      <c r="C513" s="1"/>
    </row>
    <row r="514" spans="3:3" ht="12.45">
      <c r="C514" s="1"/>
    </row>
    <row r="515" spans="3:3" ht="12.45">
      <c r="C515" s="1"/>
    </row>
    <row r="516" spans="3:3" ht="12.45">
      <c r="C516" s="1"/>
    </row>
    <row r="517" spans="3:3" ht="12.45">
      <c r="C517" s="1"/>
    </row>
    <row r="518" spans="3:3" ht="12.45">
      <c r="C518" s="1"/>
    </row>
    <row r="519" spans="3:3" ht="12.45">
      <c r="C519" s="1"/>
    </row>
    <row r="520" spans="3:3" ht="12.45">
      <c r="C520" s="1"/>
    </row>
    <row r="521" spans="3:3" ht="12.45">
      <c r="C521" s="1"/>
    </row>
    <row r="522" spans="3:3" ht="12.45">
      <c r="C522" s="1"/>
    </row>
    <row r="523" spans="3:3" ht="12.45">
      <c r="C523" s="1"/>
    </row>
    <row r="524" spans="3:3" ht="12.45">
      <c r="C524" s="1"/>
    </row>
    <row r="525" spans="3:3" ht="12.45">
      <c r="C525" s="1"/>
    </row>
    <row r="526" spans="3:3" ht="12.45">
      <c r="C526" s="1"/>
    </row>
    <row r="527" spans="3:3" ht="12.45">
      <c r="C527" s="1"/>
    </row>
    <row r="528" spans="3:3" ht="12.45">
      <c r="C528" s="1"/>
    </row>
    <row r="529" spans="3:3" ht="12.45">
      <c r="C529" s="1"/>
    </row>
    <row r="530" spans="3:3" ht="12.45">
      <c r="C530" s="1"/>
    </row>
    <row r="531" spans="3:3" ht="12.45">
      <c r="C531" s="1"/>
    </row>
    <row r="532" spans="3:3" ht="12.45">
      <c r="C532" s="1"/>
    </row>
    <row r="533" spans="3:3" ht="12.45">
      <c r="C533" s="1"/>
    </row>
    <row r="534" spans="3:3" ht="12.45">
      <c r="C534" s="1"/>
    </row>
    <row r="535" spans="3:3" ht="12.45">
      <c r="C535" s="1"/>
    </row>
    <row r="536" spans="3:3" ht="12.45">
      <c r="C536" s="1"/>
    </row>
    <row r="537" spans="3:3" ht="12.45">
      <c r="C537" s="1"/>
    </row>
    <row r="538" spans="3:3" ht="12.45">
      <c r="C538" s="1"/>
    </row>
    <row r="539" spans="3:3" ht="12.45">
      <c r="C539" s="1"/>
    </row>
    <row r="540" spans="3:3" ht="12.45">
      <c r="C540" s="1"/>
    </row>
    <row r="541" spans="3:3" ht="12.45">
      <c r="C541" s="1"/>
    </row>
    <row r="542" spans="3:3" ht="12.45">
      <c r="C542" s="1"/>
    </row>
    <row r="543" spans="3:3" ht="12.45">
      <c r="C543" s="1"/>
    </row>
    <row r="544" spans="3:3" ht="12.45">
      <c r="C544" s="1"/>
    </row>
    <row r="545" spans="3:3" ht="12.45">
      <c r="C545" s="1"/>
    </row>
    <row r="546" spans="3:3" ht="12.45">
      <c r="C546" s="1"/>
    </row>
    <row r="547" spans="3:3" ht="12.45">
      <c r="C547" s="1"/>
    </row>
    <row r="548" spans="3:3" ht="12.45">
      <c r="C548" s="1"/>
    </row>
    <row r="549" spans="3:3" ht="12.45">
      <c r="C549" s="1"/>
    </row>
    <row r="550" spans="3:3" ht="12.45">
      <c r="C550" s="1"/>
    </row>
    <row r="551" spans="3:3" ht="12.45">
      <c r="C551" s="1"/>
    </row>
    <row r="552" spans="3:3" ht="12.45">
      <c r="C552" s="1"/>
    </row>
    <row r="553" spans="3:3" ht="12.45">
      <c r="C553" s="1"/>
    </row>
    <row r="554" spans="3:3" ht="12.45">
      <c r="C554" s="1"/>
    </row>
    <row r="555" spans="3:3" ht="12.45">
      <c r="C555" s="1"/>
    </row>
    <row r="556" spans="3:3" ht="12.45">
      <c r="C556" s="1"/>
    </row>
    <row r="557" spans="3:3" ht="12.45">
      <c r="C557" s="1"/>
    </row>
    <row r="558" spans="3:3" ht="12.45">
      <c r="C558" s="1"/>
    </row>
    <row r="559" spans="3:3" ht="12.45">
      <c r="C559" s="1"/>
    </row>
    <row r="560" spans="3:3" ht="12.45">
      <c r="C560" s="1"/>
    </row>
    <row r="561" spans="3:3" ht="12.45">
      <c r="C561" s="1"/>
    </row>
    <row r="562" spans="3:3" ht="12.45">
      <c r="C562" s="1"/>
    </row>
    <row r="563" spans="3:3" ht="12.45">
      <c r="C563" s="1"/>
    </row>
    <row r="564" spans="3:3" ht="12.45">
      <c r="C564" s="1"/>
    </row>
    <row r="565" spans="3:3" ht="12.45">
      <c r="C565" s="1"/>
    </row>
    <row r="566" spans="3:3" ht="12.45">
      <c r="C566" s="1"/>
    </row>
    <row r="567" spans="3:3" ht="12.45">
      <c r="C567" s="1"/>
    </row>
    <row r="568" spans="3:3" ht="12.45">
      <c r="C568" s="1"/>
    </row>
    <row r="569" spans="3:3" ht="12.45">
      <c r="C569" s="1"/>
    </row>
    <row r="570" spans="3:3" ht="12.45">
      <c r="C570" s="1"/>
    </row>
    <row r="571" spans="3:3" ht="12.45">
      <c r="C571" s="1"/>
    </row>
    <row r="572" spans="3:3" ht="12.45">
      <c r="C572" s="1"/>
    </row>
    <row r="573" spans="3:3" ht="12.45">
      <c r="C573" s="1"/>
    </row>
    <row r="574" spans="3:3" ht="12.45">
      <c r="C574" s="1"/>
    </row>
    <row r="575" spans="3:3" ht="12.45">
      <c r="C575" s="1"/>
    </row>
    <row r="576" spans="3:3" ht="12.45">
      <c r="C576" s="1"/>
    </row>
    <row r="577" spans="3:3" ht="12.45">
      <c r="C577" s="1"/>
    </row>
    <row r="578" spans="3:3" ht="12.45">
      <c r="C578" s="1"/>
    </row>
    <row r="579" spans="3:3" ht="12.45">
      <c r="C579" s="1"/>
    </row>
    <row r="580" spans="3:3" ht="12.45">
      <c r="C580" s="1"/>
    </row>
    <row r="581" spans="3:3" ht="12.45">
      <c r="C581" s="1"/>
    </row>
    <row r="582" spans="3:3" ht="12.45">
      <c r="C582" s="1"/>
    </row>
    <row r="583" spans="3:3" ht="12.45">
      <c r="C583" s="1"/>
    </row>
    <row r="584" spans="3:3" ht="12.45">
      <c r="C584" s="1"/>
    </row>
    <row r="585" spans="3:3" ht="12.45">
      <c r="C585" s="1"/>
    </row>
    <row r="586" spans="3:3" ht="12.45">
      <c r="C586" s="1"/>
    </row>
    <row r="587" spans="3:3" ht="12.45">
      <c r="C587" s="1"/>
    </row>
    <row r="588" spans="3:3" ht="12.45">
      <c r="C588" s="1"/>
    </row>
    <row r="589" spans="3:3" ht="12.45">
      <c r="C589" s="1"/>
    </row>
    <row r="590" spans="3:3" ht="12.45">
      <c r="C590" s="1"/>
    </row>
    <row r="591" spans="3:3" ht="12.45">
      <c r="C591" s="1"/>
    </row>
    <row r="592" spans="3:3" ht="12.45">
      <c r="C592" s="1"/>
    </row>
    <row r="593" spans="3:3" ht="12.45">
      <c r="C593" s="1"/>
    </row>
    <row r="594" spans="3:3" ht="12.45">
      <c r="C594" s="1"/>
    </row>
    <row r="595" spans="3:3" ht="12.45">
      <c r="C595" s="1"/>
    </row>
    <row r="596" spans="3:3" ht="12.45">
      <c r="C596" s="1"/>
    </row>
    <row r="597" spans="3:3" ht="12.45">
      <c r="C597" s="1"/>
    </row>
    <row r="598" spans="3:3" ht="12.45">
      <c r="C598" s="1"/>
    </row>
    <row r="599" spans="3:3" ht="12.45">
      <c r="C599" s="1"/>
    </row>
    <row r="600" spans="3:3" ht="12.45">
      <c r="C600" s="1"/>
    </row>
    <row r="601" spans="3:3" ht="12.45">
      <c r="C601" s="1"/>
    </row>
    <row r="602" spans="3:3" ht="12.45">
      <c r="C602" s="1"/>
    </row>
    <row r="603" spans="3:3" ht="12.45">
      <c r="C603" s="1"/>
    </row>
    <row r="604" spans="3:3" ht="12.45">
      <c r="C604" s="1"/>
    </row>
    <row r="605" spans="3:3" ht="12.45">
      <c r="C605" s="1"/>
    </row>
    <row r="606" spans="3:3" ht="12.45">
      <c r="C606" s="1"/>
    </row>
    <row r="607" spans="3:3" ht="12.45">
      <c r="C607" s="1"/>
    </row>
    <row r="608" spans="3:3" ht="12.45">
      <c r="C608" s="1"/>
    </row>
    <row r="609" spans="3:3" ht="12.45">
      <c r="C609" s="1"/>
    </row>
    <row r="610" spans="3:3" ht="12.45">
      <c r="C610" s="1"/>
    </row>
    <row r="611" spans="3:3" ht="12.45">
      <c r="C611" s="1"/>
    </row>
    <row r="612" spans="3:3" ht="12.45">
      <c r="C612" s="1"/>
    </row>
    <row r="613" spans="3:3" ht="12.45">
      <c r="C613" s="1"/>
    </row>
    <row r="614" spans="3:3" ht="12.45">
      <c r="C614" s="1"/>
    </row>
    <row r="615" spans="3:3" ht="12.45">
      <c r="C615" s="1"/>
    </row>
    <row r="616" spans="3:3" ht="12.45">
      <c r="C616" s="1"/>
    </row>
    <row r="617" spans="3:3" ht="12.45">
      <c r="C617" s="1"/>
    </row>
    <row r="618" spans="3:3" ht="12.45">
      <c r="C618" s="1"/>
    </row>
    <row r="619" spans="3:3" ht="12.45">
      <c r="C619" s="1"/>
    </row>
    <row r="620" spans="3:3" ht="12.45">
      <c r="C620" s="1"/>
    </row>
    <row r="621" spans="3:3" ht="12.45">
      <c r="C621" s="1"/>
    </row>
    <row r="622" spans="3:3" ht="12.45">
      <c r="C622" s="1"/>
    </row>
    <row r="623" spans="3:3" ht="12.45">
      <c r="C623" s="1"/>
    </row>
    <row r="624" spans="3:3" ht="12.45">
      <c r="C624" s="1"/>
    </row>
    <row r="625" spans="3:3" ht="12.45">
      <c r="C625" s="1"/>
    </row>
    <row r="626" spans="3:3" ht="12.45">
      <c r="C626" s="1"/>
    </row>
    <row r="627" spans="3:3" ht="12.45">
      <c r="C627" s="1"/>
    </row>
    <row r="628" spans="3:3" ht="12.45">
      <c r="C628" s="1"/>
    </row>
    <row r="629" spans="3:3" ht="12.45">
      <c r="C629" s="1"/>
    </row>
    <row r="630" spans="3:3" ht="12.45">
      <c r="C630" s="1"/>
    </row>
    <row r="631" spans="3:3" ht="12.45">
      <c r="C631" s="1"/>
    </row>
    <row r="632" spans="3:3" ht="12.45">
      <c r="C632" s="1"/>
    </row>
    <row r="633" spans="3:3" ht="12.45">
      <c r="C633" s="1"/>
    </row>
    <row r="634" spans="3:3" ht="12.45">
      <c r="C634" s="1"/>
    </row>
    <row r="635" spans="3:3" ht="12.45">
      <c r="C635" s="1"/>
    </row>
    <row r="636" spans="3:3" ht="12.45">
      <c r="C636" s="1"/>
    </row>
    <row r="637" spans="3:3" ht="12.45">
      <c r="C637" s="1"/>
    </row>
    <row r="638" spans="3:3" ht="12.45">
      <c r="C638" s="1"/>
    </row>
    <row r="639" spans="3:3" ht="12.45">
      <c r="C639" s="1"/>
    </row>
    <row r="640" spans="3:3" ht="12.45">
      <c r="C640" s="1"/>
    </row>
    <row r="641" spans="3:3" ht="12.45">
      <c r="C641" s="1"/>
    </row>
    <row r="642" spans="3:3" ht="12.45">
      <c r="C642" s="1"/>
    </row>
    <row r="643" spans="3:3" ht="12.45">
      <c r="C643" s="1"/>
    </row>
    <row r="644" spans="3:3" ht="12.45">
      <c r="C644" s="1"/>
    </row>
    <row r="645" spans="3:3" ht="12.45">
      <c r="C645" s="1"/>
    </row>
    <row r="646" spans="3:3" ht="12.45">
      <c r="C646" s="1"/>
    </row>
    <row r="647" spans="3:3" ht="12.45">
      <c r="C647" s="1"/>
    </row>
    <row r="648" spans="3:3" ht="12.45">
      <c r="C648" s="1"/>
    </row>
    <row r="649" spans="3:3" ht="12.45">
      <c r="C649" s="1"/>
    </row>
    <row r="650" spans="3:3" ht="12.45">
      <c r="C650" s="1"/>
    </row>
    <row r="651" spans="3:3" ht="12.45">
      <c r="C651" s="1"/>
    </row>
    <row r="652" spans="3:3" ht="12.45">
      <c r="C652" s="1"/>
    </row>
    <row r="653" spans="3:3" ht="12.45">
      <c r="C653" s="1"/>
    </row>
    <row r="654" spans="3:3" ht="12.45">
      <c r="C654" s="1"/>
    </row>
    <row r="655" spans="3:3" ht="12.45">
      <c r="C655" s="1"/>
    </row>
    <row r="656" spans="3:3" ht="12.45">
      <c r="C656" s="1"/>
    </row>
    <row r="657" spans="3:3" ht="12.45">
      <c r="C657" s="1"/>
    </row>
    <row r="658" spans="3:3" ht="12.45">
      <c r="C658" s="1"/>
    </row>
    <row r="659" spans="3:3" ht="12.45">
      <c r="C659" s="1"/>
    </row>
    <row r="660" spans="3:3" ht="12.45">
      <c r="C660" s="1"/>
    </row>
    <row r="661" spans="3:3" ht="12.45">
      <c r="C661" s="1"/>
    </row>
    <row r="662" spans="3:3" ht="12.45">
      <c r="C662" s="1"/>
    </row>
    <row r="663" spans="3:3" ht="12.45">
      <c r="C663" s="1"/>
    </row>
    <row r="664" spans="3:3" ht="12.45">
      <c r="C664" s="1"/>
    </row>
    <row r="665" spans="3:3" ht="12.45">
      <c r="C665" s="1"/>
    </row>
    <row r="666" spans="3:3" ht="12.45">
      <c r="C666" s="1"/>
    </row>
    <row r="667" spans="3:3" ht="12.45">
      <c r="C667" s="1"/>
    </row>
    <row r="668" spans="3:3" ht="12.45">
      <c r="C668" s="1"/>
    </row>
    <row r="669" spans="3:3" ht="12.45">
      <c r="C669" s="1"/>
    </row>
    <row r="670" spans="3:3" ht="12.45">
      <c r="C670" s="1"/>
    </row>
    <row r="671" spans="3:3" ht="12.45">
      <c r="C671" s="1"/>
    </row>
    <row r="672" spans="3:3" ht="12.45">
      <c r="C672" s="1"/>
    </row>
    <row r="673" spans="3:3" ht="12.45">
      <c r="C673" s="1"/>
    </row>
    <row r="674" spans="3:3" ht="12.45">
      <c r="C674" s="1"/>
    </row>
    <row r="675" spans="3:3" ht="12.45">
      <c r="C675" s="1"/>
    </row>
    <row r="676" spans="3:3" ht="12.45">
      <c r="C676" s="1"/>
    </row>
    <row r="677" spans="3:3" ht="12.45">
      <c r="C677" s="1"/>
    </row>
    <row r="678" spans="3:3" ht="12.45">
      <c r="C678" s="1"/>
    </row>
    <row r="679" spans="3:3" ht="12.45">
      <c r="C679" s="1"/>
    </row>
    <row r="680" spans="3:3" ht="12.45">
      <c r="C680" s="1"/>
    </row>
    <row r="681" spans="3:3" ht="12.45">
      <c r="C681" s="1"/>
    </row>
    <row r="682" spans="3:3" ht="12.45">
      <c r="C682" s="1"/>
    </row>
    <row r="683" spans="3:3" ht="12.45">
      <c r="C683" s="1"/>
    </row>
    <row r="684" spans="3:3" ht="12.45">
      <c r="C684" s="1"/>
    </row>
    <row r="685" spans="3:3" ht="12.45">
      <c r="C685" s="1"/>
    </row>
    <row r="686" spans="3:3" ht="12.45">
      <c r="C686" s="1"/>
    </row>
    <row r="687" spans="3:3" ht="12.45">
      <c r="C687" s="1"/>
    </row>
    <row r="688" spans="3:3" ht="12.45">
      <c r="C688" s="1"/>
    </row>
    <row r="689" spans="3:3" ht="12.45">
      <c r="C689" s="1"/>
    </row>
    <row r="690" spans="3:3" ht="12.45">
      <c r="C690" s="1"/>
    </row>
    <row r="691" spans="3:3" ht="12.45">
      <c r="C691" s="1"/>
    </row>
    <row r="692" spans="3:3" ht="12.45">
      <c r="C692" s="1"/>
    </row>
    <row r="693" spans="3:3" ht="12.45">
      <c r="C693" s="1"/>
    </row>
    <row r="694" spans="3:3" ht="12.45">
      <c r="C694" s="1"/>
    </row>
    <row r="695" spans="3:3" ht="12.45">
      <c r="C695" s="1"/>
    </row>
    <row r="696" spans="3:3" ht="12.45">
      <c r="C696" s="1"/>
    </row>
    <row r="697" spans="3:3" ht="12.45">
      <c r="C697" s="1"/>
    </row>
    <row r="698" spans="3:3" ht="12.45">
      <c r="C698" s="1"/>
    </row>
    <row r="699" spans="3:3" ht="12.45">
      <c r="C699" s="1"/>
    </row>
    <row r="700" spans="3:3" ht="12.45">
      <c r="C700" s="1"/>
    </row>
    <row r="701" spans="3:3" ht="12.45">
      <c r="C701" s="1"/>
    </row>
    <row r="702" spans="3:3" ht="12.45">
      <c r="C702" s="1"/>
    </row>
    <row r="703" spans="3:3" ht="12.45">
      <c r="C703" s="1"/>
    </row>
    <row r="704" spans="3:3" ht="12.45">
      <c r="C704" s="1"/>
    </row>
    <row r="705" spans="3:3" ht="12.45">
      <c r="C705" s="1"/>
    </row>
    <row r="706" spans="3:3" ht="12.45">
      <c r="C706" s="1"/>
    </row>
    <row r="707" spans="3:3" ht="12.45">
      <c r="C707" s="1"/>
    </row>
    <row r="708" spans="3:3" ht="12.45">
      <c r="C708" s="1"/>
    </row>
    <row r="709" spans="3:3" ht="12.45">
      <c r="C709" s="1"/>
    </row>
    <row r="710" spans="3:3" ht="12.45">
      <c r="C710" s="1"/>
    </row>
    <row r="711" spans="3:3" ht="12.45">
      <c r="C711" s="1"/>
    </row>
    <row r="712" spans="3:3" ht="12.45">
      <c r="C712" s="1"/>
    </row>
    <row r="713" spans="3:3" ht="12.45">
      <c r="C713" s="1"/>
    </row>
    <row r="714" spans="3:3" ht="12.45">
      <c r="C714" s="1"/>
    </row>
    <row r="715" spans="3:3" ht="12.45">
      <c r="C715" s="1"/>
    </row>
    <row r="716" spans="3:3" ht="12.45">
      <c r="C716" s="1"/>
    </row>
    <row r="717" spans="3:3" ht="12.45">
      <c r="C717" s="1"/>
    </row>
    <row r="718" spans="3:3" ht="12.45">
      <c r="C718" s="1"/>
    </row>
    <row r="719" spans="3:3" ht="12.45">
      <c r="C719" s="1"/>
    </row>
    <row r="720" spans="3:3" ht="12.45">
      <c r="C720" s="1"/>
    </row>
    <row r="721" spans="3:3" ht="12.45">
      <c r="C721" s="1"/>
    </row>
    <row r="722" spans="3:3" ht="12.45">
      <c r="C722" s="1"/>
    </row>
    <row r="723" spans="3:3" ht="12.45">
      <c r="C723" s="1"/>
    </row>
    <row r="724" spans="3:3" ht="12.45">
      <c r="C724" s="1"/>
    </row>
    <row r="725" spans="3:3" ht="12.45">
      <c r="C725" s="1"/>
    </row>
    <row r="726" spans="3:3" ht="12.45">
      <c r="C726" s="1"/>
    </row>
    <row r="727" spans="3:3" ht="12.45">
      <c r="C727" s="1"/>
    </row>
    <row r="728" spans="3:3" ht="12.45">
      <c r="C728" s="1"/>
    </row>
    <row r="729" spans="3:3" ht="12.45">
      <c r="C729" s="1"/>
    </row>
    <row r="730" spans="3:3" ht="12.45">
      <c r="C730" s="1"/>
    </row>
    <row r="731" spans="3:3" ht="12.45">
      <c r="C731" s="1"/>
    </row>
    <row r="732" spans="3:3" ht="12.45">
      <c r="C732" s="1"/>
    </row>
    <row r="733" spans="3:3" ht="12.45">
      <c r="C733" s="1"/>
    </row>
    <row r="734" spans="3:3" ht="12.45">
      <c r="C734" s="1"/>
    </row>
    <row r="735" spans="3:3" ht="12.45">
      <c r="C735" s="1"/>
    </row>
    <row r="736" spans="3:3" ht="12.45">
      <c r="C736" s="1"/>
    </row>
    <row r="737" spans="3:3" ht="12.45">
      <c r="C737" s="1"/>
    </row>
    <row r="738" spans="3:3" ht="12.45">
      <c r="C738" s="1"/>
    </row>
    <row r="739" spans="3:3" ht="12.45">
      <c r="C739" s="1"/>
    </row>
    <row r="740" spans="3:3" ht="12.45">
      <c r="C740" s="1"/>
    </row>
    <row r="741" spans="3:3" ht="12.45">
      <c r="C741" s="1"/>
    </row>
    <row r="742" spans="3:3" ht="12.45">
      <c r="C742" s="1"/>
    </row>
    <row r="743" spans="3:3" ht="12.45">
      <c r="C743" s="1"/>
    </row>
    <row r="744" spans="3:3" ht="12.45">
      <c r="C744" s="1"/>
    </row>
    <row r="745" spans="3:3" ht="12.45">
      <c r="C745" s="1"/>
    </row>
    <row r="746" spans="3:3" ht="12.45">
      <c r="C746" s="1"/>
    </row>
    <row r="747" spans="3:3" ht="12.45">
      <c r="C747" s="1"/>
    </row>
    <row r="748" spans="3:3" ht="12.45">
      <c r="C748" s="1"/>
    </row>
    <row r="749" spans="3:3" ht="12.45">
      <c r="C749" s="1"/>
    </row>
    <row r="750" spans="3:3" ht="12.45">
      <c r="C750" s="1"/>
    </row>
    <row r="751" spans="3:3" ht="12.45">
      <c r="C751" s="1"/>
    </row>
    <row r="752" spans="3:3" ht="12.45">
      <c r="C752" s="1"/>
    </row>
    <row r="753" spans="3:3" ht="12.45">
      <c r="C753" s="1"/>
    </row>
    <row r="754" spans="3:3" ht="12.45">
      <c r="C754" s="1"/>
    </row>
    <row r="755" spans="3:3" ht="12.45">
      <c r="C755" s="1"/>
    </row>
    <row r="756" spans="3:3" ht="12.45">
      <c r="C756" s="1"/>
    </row>
    <row r="757" spans="3:3" ht="12.45">
      <c r="C757" s="1"/>
    </row>
    <row r="758" spans="3:3" ht="12.45">
      <c r="C758" s="1"/>
    </row>
    <row r="759" spans="3:3" ht="12.45">
      <c r="C759" s="1"/>
    </row>
    <row r="760" spans="3:3" ht="12.45">
      <c r="C760" s="1"/>
    </row>
    <row r="761" spans="3:3" ht="12.45">
      <c r="C761" s="1"/>
    </row>
    <row r="762" spans="3:3" ht="12.45">
      <c r="C762" s="1"/>
    </row>
    <row r="763" spans="3:3" ht="12.45">
      <c r="C763" s="1"/>
    </row>
    <row r="764" spans="3:3" ht="12.45">
      <c r="C764" s="1"/>
    </row>
    <row r="765" spans="3:3" ht="12.45">
      <c r="C765" s="1"/>
    </row>
    <row r="766" spans="3:3" ht="12.45">
      <c r="C766" s="1"/>
    </row>
    <row r="767" spans="3:3" ht="12.45">
      <c r="C767" s="1"/>
    </row>
    <row r="768" spans="3:3" ht="12.45">
      <c r="C768" s="1"/>
    </row>
    <row r="769" spans="3:3" ht="12.45">
      <c r="C769" s="1"/>
    </row>
    <row r="770" spans="3:3" ht="12.45">
      <c r="C770" s="1"/>
    </row>
    <row r="771" spans="3:3" ht="12.45">
      <c r="C771" s="1"/>
    </row>
    <row r="772" spans="3:3" ht="12.45">
      <c r="C772" s="1"/>
    </row>
    <row r="773" spans="3:3" ht="12.45">
      <c r="C773" s="1"/>
    </row>
    <row r="774" spans="3:3" ht="12.45">
      <c r="C774" s="1"/>
    </row>
    <row r="775" spans="3:3" ht="12.45">
      <c r="C775" s="1"/>
    </row>
    <row r="776" spans="3:3" ht="12.45">
      <c r="C776" s="1"/>
    </row>
    <row r="777" spans="3:3" ht="12.45">
      <c r="C777" s="1"/>
    </row>
    <row r="778" spans="3:3" ht="12.45">
      <c r="C778" s="1"/>
    </row>
    <row r="779" spans="3:3" ht="12.45">
      <c r="C779" s="1"/>
    </row>
    <row r="780" spans="3:3" ht="12.45">
      <c r="C780" s="1"/>
    </row>
    <row r="781" spans="3:3" ht="12.45">
      <c r="C781" s="1"/>
    </row>
    <row r="782" spans="3:3" ht="12.45">
      <c r="C782" s="1"/>
    </row>
    <row r="783" spans="3:3" ht="12.45">
      <c r="C783" s="1"/>
    </row>
    <row r="784" spans="3:3" ht="12.45">
      <c r="C784" s="1"/>
    </row>
    <row r="785" spans="3:3" ht="12.45">
      <c r="C785" s="1"/>
    </row>
    <row r="786" spans="3:3" ht="12.45">
      <c r="C786" s="1"/>
    </row>
    <row r="787" spans="3:3" ht="12.45">
      <c r="C787" s="1"/>
    </row>
    <row r="788" spans="3:3" ht="12.45">
      <c r="C788" s="1"/>
    </row>
    <row r="789" spans="3:3" ht="12.45">
      <c r="C789" s="1"/>
    </row>
    <row r="790" spans="3:3" ht="12.45">
      <c r="C790" s="1"/>
    </row>
    <row r="791" spans="3:3" ht="12.45">
      <c r="C791" s="1"/>
    </row>
    <row r="792" spans="3:3" ht="12.45">
      <c r="C792" s="1"/>
    </row>
    <row r="793" spans="3:3" ht="12.45">
      <c r="C793" s="1"/>
    </row>
    <row r="794" spans="3:3" ht="12.45">
      <c r="C794" s="1"/>
    </row>
    <row r="795" spans="3:3" ht="12.45">
      <c r="C795" s="1"/>
    </row>
    <row r="796" spans="3:3" ht="12.45">
      <c r="C796" s="1"/>
    </row>
    <row r="797" spans="3:3" ht="12.45">
      <c r="C797" s="1"/>
    </row>
    <row r="798" spans="3:3" ht="12.45">
      <c r="C798" s="1"/>
    </row>
    <row r="799" spans="3:3" ht="12.45">
      <c r="C799" s="1"/>
    </row>
    <row r="800" spans="3:3" ht="12.45">
      <c r="C800" s="1"/>
    </row>
    <row r="801" spans="3:3" ht="12.45">
      <c r="C801" s="1"/>
    </row>
    <row r="802" spans="3:3" ht="12.45">
      <c r="C802" s="1"/>
    </row>
    <row r="803" spans="3:3" ht="12.45">
      <c r="C803" s="1"/>
    </row>
    <row r="804" spans="3:3" ht="12.45">
      <c r="C804" s="1"/>
    </row>
    <row r="805" spans="3:3" ht="12.45">
      <c r="C805" s="1"/>
    </row>
    <row r="806" spans="3:3" ht="12.45">
      <c r="C806" s="1"/>
    </row>
    <row r="807" spans="3:3" ht="12.45">
      <c r="C807" s="1"/>
    </row>
    <row r="808" spans="3:3" ht="12.45">
      <c r="C808" s="1"/>
    </row>
    <row r="809" spans="3:3" ht="12.45">
      <c r="C809" s="1"/>
    </row>
    <row r="810" spans="3:3" ht="12.45">
      <c r="C810" s="1"/>
    </row>
    <row r="811" spans="3:3" ht="12.45">
      <c r="C811" s="1"/>
    </row>
    <row r="812" spans="3:3" ht="12.45">
      <c r="C812" s="1"/>
    </row>
    <row r="813" spans="3:3" ht="12.45">
      <c r="C813" s="1"/>
    </row>
    <row r="814" spans="3:3" ht="12.45">
      <c r="C814" s="1"/>
    </row>
    <row r="815" spans="3:3" ht="12.45">
      <c r="C815" s="1"/>
    </row>
    <row r="816" spans="3:3" ht="12.45">
      <c r="C816" s="1"/>
    </row>
    <row r="817" spans="3:3" ht="12.45">
      <c r="C817" s="1"/>
    </row>
    <row r="818" spans="3:3" ht="12.45">
      <c r="C818" s="1"/>
    </row>
    <row r="819" spans="3:3" ht="12.45">
      <c r="C819" s="1"/>
    </row>
    <row r="820" spans="3:3" ht="12.45">
      <c r="C820" s="1"/>
    </row>
    <row r="821" spans="3:3" ht="12.45">
      <c r="C821" s="1"/>
    </row>
    <row r="822" spans="3:3" ht="12.45">
      <c r="C822" s="1"/>
    </row>
    <row r="823" spans="3:3" ht="12.45">
      <c r="C823" s="1"/>
    </row>
    <row r="824" spans="3:3" ht="12.45">
      <c r="C824" s="1"/>
    </row>
    <row r="825" spans="3:3" ht="12.45">
      <c r="C825" s="1"/>
    </row>
    <row r="826" spans="3:3" ht="12.45">
      <c r="C826" s="1"/>
    </row>
    <row r="827" spans="3:3" ht="12.45">
      <c r="C827" s="1"/>
    </row>
    <row r="828" spans="3:3" ht="12.45">
      <c r="C828" s="1"/>
    </row>
    <row r="829" spans="3:3" ht="12.45">
      <c r="C829" s="1"/>
    </row>
    <row r="830" spans="3:3" ht="12.45">
      <c r="C830" s="1"/>
    </row>
    <row r="831" spans="3:3" ht="12.45">
      <c r="C831" s="1"/>
    </row>
    <row r="832" spans="3:3" ht="12.45">
      <c r="C832" s="1"/>
    </row>
    <row r="833" spans="3:3" ht="12.45">
      <c r="C833" s="1"/>
    </row>
    <row r="834" spans="3:3" ht="12.45">
      <c r="C834" s="1"/>
    </row>
    <row r="835" spans="3:3" ht="12.45">
      <c r="C835" s="1"/>
    </row>
    <row r="836" spans="3:3" ht="12.45">
      <c r="C836" s="1"/>
    </row>
    <row r="837" spans="3:3" ht="12.45">
      <c r="C837" s="1"/>
    </row>
    <row r="838" spans="3:3" ht="12.45">
      <c r="C838" s="1"/>
    </row>
    <row r="839" spans="3:3" ht="12.45">
      <c r="C839" s="1"/>
    </row>
    <row r="840" spans="3:3" ht="12.45">
      <c r="C840" s="1"/>
    </row>
    <row r="841" spans="3:3" ht="12.45">
      <c r="C841" s="1"/>
    </row>
    <row r="842" spans="3:3" ht="12.45">
      <c r="C842" s="1"/>
    </row>
    <row r="843" spans="3:3" ht="12.45">
      <c r="C843" s="1"/>
    </row>
    <row r="844" spans="3:3" ht="12.45">
      <c r="C844" s="1"/>
    </row>
    <row r="845" spans="3:3" ht="12.45">
      <c r="C845" s="1"/>
    </row>
    <row r="846" spans="3:3" ht="12.45">
      <c r="C846" s="1"/>
    </row>
    <row r="847" spans="3:3" ht="12.45">
      <c r="C847" s="1"/>
    </row>
    <row r="848" spans="3:3" ht="12.45">
      <c r="C848" s="1"/>
    </row>
    <row r="849" spans="3:3" ht="12.45">
      <c r="C849" s="1"/>
    </row>
    <row r="850" spans="3:3" ht="12.45">
      <c r="C850" s="1"/>
    </row>
    <row r="851" spans="3:3" ht="12.45">
      <c r="C851" s="1"/>
    </row>
    <row r="852" spans="3:3" ht="12.45">
      <c r="C852" s="1"/>
    </row>
    <row r="853" spans="3:3" ht="12.45">
      <c r="C853" s="1"/>
    </row>
    <row r="854" spans="3:3" ht="12.45">
      <c r="C854" s="1"/>
    </row>
    <row r="855" spans="3:3" ht="12.45">
      <c r="C855" s="1"/>
    </row>
    <row r="856" spans="3:3" ht="12.45">
      <c r="C856" s="1"/>
    </row>
    <row r="857" spans="3:3" ht="12.45">
      <c r="C857" s="1"/>
    </row>
    <row r="858" spans="3:3" ht="12.45">
      <c r="C858" s="1"/>
    </row>
    <row r="859" spans="3:3" ht="12.45">
      <c r="C859" s="1"/>
    </row>
    <row r="860" spans="3:3" ht="12.45">
      <c r="C860" s="1"/>
    </row>
    <row r="861" spans="3:3" ht="12.45">
      <c r="C861" s="1"/>
    </row>
    <row r="862" spans="3:3" ht="12.45">
      <c r="C862" s="1"/>
    </row>
    <row r="863" spans="3:3" ht="12.45">
      <c r="C863" s="1"/>
    </row>
    <row r="864" spans="3:3" ht="12.45">
      <c r="C864" s="1"/>
    </row>
    <row r="865" spans="3:3" ht="12.45">
      <c r="C865" s="1"/>
    </row>
    <row r="866" spans="3:3" ht="12.45">
      <c r="C866" s="1"/>
    </row>
    <row r="867" spans="3:3" ht="12.45">
      <c r="C867" s="1"/>
    </row>
    <row r="868" spans="3:3" ht="12.45">
      <c r="C868" s="1"/>
    </row>
    <row r="869" spans="3:3" ht="12.45">
      <c r="C869" s="1"/>
    </row>
    <row r="870" spans="3:3" ht="12.45">
      <c r="C870" s="1"/>
    </row>
    <row r="871" spans="3:3" ht="12.45">
      <c r="C871" s="1"/>
    </row>
    <row r="872" spans="3:3" ht="12.45">
      <c r="C872" s="1"/>
    </row>
    <row r="873" spans="3:3" ht="12.45">
      <c r="C873" s="1"/>
    </row>
    <row r="874" spans="3:3" ht="12.45">
      <c r="C874" s="1"/>
    </row>
    <row r="875" spans="3:3" ht="12.45">
      <c r="C875" s="1"/>
    </row>
    <row r="876" spans="3:3" ht="12.45">
      <c r="C876" s="1"/>
    </row>
    <row r="877" spans="3:3" ht="12.45">
      <c r="C877" s="1"/>
    </row>
    <row r="878" spans="3:3" ht="12.45">
      <c r="C878" s="1"/>
    </row>
    <row r="879" spans="3:3" ht="12.45">
      <c r="C879" s="1"/>
    </row>
    <row r="880" spans="3:3" ht="12.45">
      <c r="C880" s="1"/>
    </row>
    <row r="881" spans="3:3" ht="12.45">
      <c r="C881" s="1"/>
    </row>
    <row r="882" spans="3:3" ht="12.45">
      <c r="C882" s="1"/>
    </row>
    <row r="883" spans="3:3" ht="12.45">
      <c r="C883" s="1"/>
    </row>
    <row r="884" spans="3:3" ht="12.45">
      <c r="C884" s="1"/>
    </row>
    <row r="885" spans="3:3" ht="12.45">
      <c r="C885" s="1"/>
    </row>
    <row r="886" spans="3:3" ht="12.45">
      <c r="C886" s="1"/>
    </row>
    <row r="887" spans="3:3" ht="12.45">
      <c r="C887" s="1"/>
    </row>
    <row r="888" spans="3:3" ht="12.45">
      <c r="C888" s="1"/>
    </row>
    <row r="889" spans="3:3" ht="12.45">
      <c r="C889" s="1"/>
    </row>
    <row r="890" spans="3:3" ht="12.45">
      <c r="C890" s="1"/>
    </row>
    <row r="891" spans="3:3" ht="12.45">
      <c r="C891" s="1"/>
    </row>
    <row r="892" spans="3:3" ht="12.45">
      <c r="C892" s="1"/>
    </row>
    <row r="893" spans="3:3" ht="12.45">
      <c r="C893" s="1"/>
    </row>
    <row r="894" spans="3:3" ht="12.45">
      <c r="C894" s="1"/>
    </row>
    <row r="895" spans="3:3" ht="12.45">
      <c r="C895" s="1"/>
    </row>
    <row r="896" spans="3:3" ht="12.45">
      <c r="C896" s="1"/>
    </row>
    <row r="897" spans="3:3" ht="12.45">
      <c r="C897" s="1"/>
    </row>
    <row r="898" spans="3:3" ht="12.45">
      <c r="C898" s="1"/>
    </row>
    <row r="899" spans="3:3" ht="12.45">
      <c r="C899" s="1"/>
    </row>
    <row r="900" spans="3:3" ht="12.45">
      <c r="C900" s="1"/>
    </row>
    <row r="901" spans="3:3" ht="12.45">
      <c r="C901" s="1"/>
    </row>
    <row r="902" spans="3:3" ht="12.45">
      <c r="C902" s="1"/>
    </row>
    <row r="903" spans="3:3" ht="12.45">
      <c r="C903" s="1"/>
    </row>
    <row r="904" spans="3:3" ht="12.45">
      <c r="C904" s="1"/>
    </row>
    <row r="905" spans="3:3" ht="12.45">
      <c r="C905" s="1"/>
    </row>
    <row r="906" spans="3:3" ht="12.45">
      <c r="C906" s="1"/>
    </row>
    <row r="907" spans="3:3" ht="12.45">
      <c r="C907" s="1"/>
    </row>
    <row r="908" spans="3:3" ht="12.45">
      <c r="C908" s="1"/>
    </row>
    <row r="909" spans="3:3" ht="12.45">
      <c r="C909" s="1"/>
    </row>
    <row r="910" spans="3:3" ht="12.45">
      <c r="C910" s="1"/>
    </row>
    <row r="911" spans="3:3" ht="12.45">
      <c r="C911" s="1"/>
    </row>
    <row r="912" spans="3:3" ht="12.45">
      <c r="C912" s="1"/>
    </row>
    <row r="913" spans="3:3" ht="12.45">
      <c r="C913" s="1"/>
    </row>
    <row r="914" spans="3:3" ht="12.45">
      <c r="C914" s="1"/>
    </row>
    <row r="915" spans="3:3" ht="12.45">
      <c r="C915" s="1"/>
    </row>
    <row r="916" spans="3:3" ht="12.45">
      <c r="C916" s="1"/>
    </row>
    <row r="917" spans="3:3" ht="12.45">
      <c r="C917" s="1"/>
    </row>
    <row r="918" spans="3:3" ht="12.45">
      <c r="C918" s="1"/>
    </row>
    <row r="919" spans="3:3" ht="12.45">
      <c r="C919" s="1"/>
    </row>
    <row r="920" spans="3:3" ht="12.45">
      <c r="C920" s="1"/>
    </row>
    <row r="921" spans="3:3" ht="12.45">
      <c r="C921" s="1"/>
    </row>
    <row r="922" spans="3:3" ht="12.45">
      <c r="C922" s="1"/>
    </row>
    <row r="923" spans="3:3" ht="12.45">
      <c r="C923" s="1"/>
    </row>
    <row r="924" spans="3:3" ht="12.45">
      <c r="C924" s="1"/>
    </row>
    <row r="925" spans="3:3" ht="12.45">
      <c r="C925" s="1"/>
    </row>
    <row r="926" spans="3:3" ht="12.45">
      <c r="C926" s="1"/>
    </row>
    <row r="927" spans="3:3" ht="12.45">
      <c r="C927" s="1"/>
    </row>
    <row r="928" spans="3:3" ht="12.45">
      <c r="C928" s="1"/>
    </row>
    <row r="929" spans="3:3" ht="12.45">
      <c r="C929" s="1"/>
    </row>
    <row r="930" spans="3:3" ht="12.45">
      <c r="C930" s="1"/>
    </row>
    <row r="931" spans="3:3" ht="12.45">
      <c r="C931" s="1"/>
    </row>
    <row r="932" spans="3:3" ht="12.45">
      <c r="C932" s="1"/>
    </row>
    <row r="933" spans="3:3" ht="12.45">
      <c r="C933" s="1"/>
    </row>
    <row r="934" spans="3:3" ht="12.45">
      <c r="C934" s="1"/>
    </row>
    <row r="935" spans="3:3" ht="12.45">
      <c r="C935" s="1"/>
    </row>
    <row r="936" spans="3:3" ht="12.45">
      <c r="C936" s="1"/>
    </row>
    <row r="937" spans="3:3" ht="12.45">
      <c r="C937" s="1"/>
    </row>
    <row r="938" spans="3:3" ht="12.45">
      <c r="C938" s="1"/>
    </row>
    <row r="939" spans="3:3" ht="12.45">
      <c r="C939" s="1"/>
    </row>
    <row r="940" spans="3:3" ht="12.45">
      <c r="C940" s="1"/>
    </row>
    <row r="941" spans="3:3" ht="12.45">
      <c r="C941" s="1"/>
    </row>
    <row r="942" spans="3:3" ht="12.45">
      <c r="C942" s="1"/>
    </row>
    <row r="943" spans="3:3" ht="12.45">
      <c r="C943" s="1"/>
    </row>
    <row r="944" spans="3:3" ht="12.45">
      <c r="C944" s="1"/>
    </row>
    <row r="945" spans="3:3" ht="12.45">
      <c r="C945" s="1"/>
    </row>
    <row r="946" spans="3:3" ht="12.45">
      <c r="C946" s="1"/>
    </row>
    <row r="947" spans="3:3" ht="12.45">
      <c r="C947" s="1"/>
    </row>
    <row r="948" spans="3:3" ht="12.45">
      <c r="C948" s="1"/>
    </row>
    <row r="949" spans="3:3" ht="12.45">
      <c r="C949" s="1"/>
    </row>
    <row r="950" spans="3:3" ht="12.45">
      <c r="C950" s="1"/>
    </row>
    <row r="951" spans="3:3" ht="12.45">
      <c r="C951" s="1"/>
    </row>
    <row r="952" spans="3:3" ht="12.45">
      <c r="C952" s="1"/>
    </row>
    <row r="953" spans="3:3" ht="12.45">
      <c r="C953" s="1"/>
    </row>
    <row r="954" spans="3:3" ht="12.45">
      <c r="C954" s="1"/>
    </row>
    <row r="955" spans="3:3" ht="12.45">
      <c r="C955" s="1"/>
    </row>
    <row r="956" spans="3:3" ht="12.45">
      <c r="C956" s="1"/>
    </row>
    <row r="957" spans="3:3" ht="12.45">
      <c r="C957" s="1"/>
    </row>
    <row r="958" spans="3:3" ht="12.45">
      <c r="C958" s="1"/>
    </row>
    <row r="959" spans="3:3" ht="12.45">
      <c r="C959" s="1"/>
    </row>
    <row r="960" spans="3:3" ht="12.45">
      <c r="C960" s="1"/>
    </row>
    <row r="961" spans="3:3" ht="12.45">
      <c r="C961" s="1"/>
    </row>
    <row r="962" spans="3:3" ht="12.45">
      <c r="C962" s="1"/>
    </row>
    <row r="963" spans="3:3" ht="12.45">
      <c r="C963" s="1"/>
    </row>
    <row r="964" spans="3:3" ht="12.45">
      <c r="C964" s="1"/>
    </row>
    <row r="965" spans="3:3" ht="12.45">
      <c r="C965" s="1"/>
    </row>
    <row r="966" spans="3:3" ht="12.45">
      <c r="C966" s="1"/>
    </row>
    <row r="967" spans="3:3" ht="12.45">
      <c r="C967" s="1"/>
    </row>
    <row r="968" spans="3:3" ht="12.45">
      <c r="C968" s="1"/>
    </row>
    <row r="969" spans="3:3" ht="12.45">
      <c r="C969" s="1"/>
    </row>
    <row r="970" spans="3:3" ht="12.45">
      <c r="C970" s="1"/>
    </row>
    <row r="971" spans="3:3" ht="12.45">
      <c r="C971" s="1"/>
    </row>
    <row r="972" spans="3:3" ht="12.45">
      <c r="C972" s="1"/>
    </row>
    <row r="973" spans="3:3" ht="12.45">
      <c r="C973" s="1"/>
    </row>
    <row r="974" spans="3:3" ht="12.45">
      <c r="C974" s="1"/>
    </row>
    <row r="975" spans="3:3" ht="12.45">
      <c r="C975" s="1"/>
    </row>
    <row r="976" spans="3:3" ht="12.45">
      <c r="C976" s="1"/>
    </row>
    <row r="977" spans="3:3" ht="12.45">
      <c r="C977" s="1"/>
    </row>
    <row r="978" spans="3:3" ht="12.45">
      <c r="C978" s="1"/>
    </row>
    <row r="979" spans="3:3" ht="12.45">
      <c r="C979" s="1"/>
    </row>
    <row r="980" spans="3:3" ht="12.45">
      <c r="C980" s="1"/>
    </row>
    <row r="981" spans="3:3" ht="12.45">
      <c r="C981" s="1"/>
    </row>
    <row r="982" spans="3:3" ht="12.45">
      <c r="C982" s="1"/>
    </row>
    <row r="983" spans="3:3" ht="12.45">
      <c r="C983" s="1"/>
    </row>
    <row r="984" spans="3:3" ht="12.45">
      <c r="C984" s="1"/>
    </row>
    <row r="985" spans="3:3" ht="12.45">
      <c r="C985" s="1"/>
    </row>
    <row r="986" spans="3:3" ht="12.45">
      <c r="C986" s="1"/>
    </row>
    <row r="987" spans="3:3" ht="12.45">
      <c r="C987" s="1"/>
    </row>
    <row r="988" spans="3:3" ht="12.45">
      <c r="C988" s="1"/>
    </row>
    <row r="989" spans="3:3" ht="12.45">
      <c r="C989" s="1"/>
    </row>
  </sheetData>
  <sheetProtection algorithmName="SHA-512" hashValue="4Azz8AxtHupm6CP00v7xrivDBckG2UBtT4nXkkySSm0qAzmIb4DJbNyPToXb++u3p6fqczdnX2oho/lEovcGjg==" saltValue="h8TfEqgMVVDe8H7H3XOldA==" spinCount="100000" sheet="1" objects="1" scenarios="1"/>
  <mergeCells count="1">
    <mergeCell ref="B4:C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Choisissez la Bourse de cotation" xr:uid="{00000000-0002-0000-0000-000000000000}">
          <x14:formula1>
            <xm:f>Places!$A$1:$A$7</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36"/>
  <sheetViews>
    <sheetView workbookViewId="0"/>
  </sheetViews>
  <sheetFormatPr baseColWidth="10" defaultColWidth="14.4609375" defaultRowHeight="15.75" customHeight="1"/>
  <cols>
    <col min="1" max="1" width="28.15234375" customWidth="1"/>
    <col min="2" max="2" width="15.3046875" customWidth="1"/>
    <col min="3" max="3" width="8.4609375" customWidth="1"/>
  </cols>
  <sheetData>
    <row r="1" spans="1:11" ht="15.45">
      <c r="A1" s="6"/>
      <c r="B1" s="7" t="s">
        <v>0</v>
      </c>
      <c r="C1" s="7"/>
      <c r="F1" s="8"/>
      <c r="G1" s="6" t="s">
        <v>17</v>
      </c>
      <c r="H1" s="7" t="s">
        <v>0</v>
      </c>
      <c r="I1" s="7"/>
      <c r="J1" s="9"/>
      <c r="K1" s="9"/>
    </row>
    <row r="2" spans="1:11" ht="15.45">
      <c r="A2" s="10" t="s">
        <v>18</v>
      </c>
      <c r="B2" s="11">
        <f>IF(OperationsEuros!$B$2="Euronext (Paris, Bruxelles, Amstedam)",B4,E10)</f>
        <v>24</v>
      </c>
      <c r="C2" s="12" t="e">
        <f>B2/#REF!</f>
        <v>#REF!</v>
      </c>
      <c r="G2" s="10" t="s">
        <v>18</v>
      </c>
      <c r="H2" s="13">
        <f>H6</f>
        <v>23.9</v>
      </c>
      <c r="I2" s="12">
        <f t="shared" ref="I2:I4" si="0">H2/$H$4</f>
        <v>0.69820613727999337</v>
      </c>
      <c r="J2" s="14"/>
      <c r="K2" s="14"/>
    </row>
    <row r="3" spans="1:11" ht="15.45">
      <c r="G3" s="15" t="s">
        <v>19</v>
      </c>
      <c r="H3" s="16">
        <f>K3-K4</f>
        <v>10.330578512396642</v>
      </c>
      <c r="I3" s="17">
        <f t="shared" si="0"/>
        <v>0.30179386272000669</v>
      </c>
      <c r="J3" s="14">
        <f>TauxChange!$B$1/(1+0.25/100)</f>
        <v>1.2069825436408979</v>
      </c>
      <c r="K3" s="18">
        <f>OperationsUSD!B4/J3</f>
        <v>4142.5619834710742</v>
      </c>
    </row>
    <row r="4" spans="1:11" ht="15.45">
      <c r="B4">
        <f>SUM(C6:C7)</f>
        <v>24</v>
      </c>
      <c r="G4" s="15" t="s">
        <v>20</v>
      </c>
      <c r="H4" s="16">
        <f>H2+H3</f>
        <v>34.23057851239664</v>
      </c>
      <c r="I4" s="14">
        <f t="shared" si="0"/>
        <v>1</v>
      </c>
      <c r="J4" s="19">
        <f>TauxChange!$B$1</f>
        <v>1.21</v>
      </c>
      <c r="K4" s="20">
        <f>OperationsUSD!B4/J4</f>
        <v>4132.2314049586776</v>
      </c>
    </row>
    <row r="5" spans="1:11" ht="15.75" customHeight="1">
      <c r="A5" s="21" t="s">
        <v>21</v>
      </c>
    </row>
    <row r="6" spans="1:11" ht="15.75" customHeight="1">
      <c r="A6" s="21" t="s">
        <v>22</v>
      </c>
      <c r="B6">
        <f>IF(OperationsEuros!$B$3&lt;=1000,5.5,0)</f>
        <v>0</v>
      </c>
      <c r="C6">
        <f>B6</f>
        <v>0</v>
      </c>
      <c r="F6" s="21" t="s">
        <v>23</v>
      </c>
      <c r="G6" s="22">
        <f>OperationsUSD!$B$5*0.12/100</f>
        <v>4.9586776859504127</v>
      </c>
      <c r="H6">
        <f>IF(G6&lt;23.9,23.9,G6)</f>
        <v>23.9</v>
      </c>
    </row>
    <row r="7" spans="1:11" ht="15.75" customHeight="1">
      <c r="A7" s="21" t="s">
        <v>24</v>
      </c>
      <c r="B7" s="23">
        <f>IF(OperationsEuros!$B$3&gt;1000,OperationsEuros!$B$3*0.48/100,0)</f>
        <v>24</v>
      </c>
      <c r="C7" s="23">
        <f>IF(B7=0,0,IF(B7&lt;8.5,8.5,B7))</f>
        <v>24</v>
      </c>
    </row>
    <row r="10" spans="1:11" ht="15.75" customHeight="1">
      <c r="A10" s="24" t="s">
        <v>25</v>
      </c>
      <c r="B10" s="24"/>
      <c r="C10" s="24"/>
      <c r="D10" s="24"/>
      <c r="E10" s="25">
        <f>IFERROR(C12+C16+C20+C24+C28+C32+C36,"Non disponible")</f>
        <v>0</v>
      </c>
    </row>
    <row r="11" spans="1:11" ht="15.75" customHeight="1">
      <c r="A11" s="24" t="s">
        <v>23</v>
      </c>
      <c r="B11" s="24" t="s">
        <v>26</v>
      </c>
      <c r="C11" s="24" t="s">
        <v>27</v>
      </c>
      <c r="D11" s="24"/>
      <c r="E11" s="24"/>
    </row>
    <row r="12" spans="1:11" ht="15.75" customHeight="1">
      <c r="A12" s="25">
        <f>IF(OperationsEuros!$B$2="Allemagne",OperationsEuros!$B$3*0.45/100,0)</f>
        <v>0</v>
      </c>
      <c r="B12" s="25">
        <f>IF(OperationsEuros!$B$2&lt;&gt;"Allemagne",0,IF(A12&lt;=32.9,32.9,OperationsEuros!$B$3*0.45/100))</f>
        <v>0</v>
      </c>
      <c r="C12" s="25">
        <f>B12</f>
        <v>0</v>
      </c>
      <c r="D12" s="24"/>
      <c r="E12" s="24"/>
    </row>
    <row r="13" spans="1:11" ht="15.75" customHeight="1">
      <c r="A13" s="24"/>
      <c r="B13" s="24"/>
      <c r="C13" s="24"/>
      <c r="D13" s="24"/>
      <c r="E13" s="24"/>
    </row>
    <row r="14" spans="1:11" ht="15.75" customHeight="1">
      <c r="A14" s="24" t="s">
        <v>28</v>
      </c>
      <c r="B14" s="24"/>
      <c r="C14" s="24"/>
      <c r="D14" s="24"/>
      <c r="E14" s="24"/>
    </row>
    <row r="15" spans="1:11" ht="15.75" customHeight="1">
      <c r="A15" s="24" t="s">
        <v>23</v>
      </c>
      <c r="B15" s="24" t="s">
        <v>26</v>
      </c>
      <c r="C15" s="24" t="s">
        <v>27</v>
      </c>
      <c r="D15" s="24"/>
      <c r="E15" s="24"/>
    </row>
    <row r="16" spans="1:11" ht="15.75" customHeight="1">
      <c r="A16" s="25">
        <f>IF(OperationsEuros!$B$2="Espagne",OperationsEuros!$B$3*0.45/100,0)</f>
        <v>0</v>
      </c>
      <c r="B16" s="25">
        <f>IF(OperationsEuros!$B$2&lt;&gt;"Espagne",0,IF(A16&lt;=32.9,32.9,OperationsEuros!$B$3*0.45/100))</f>
        <v>0</v>
      </c>
      <c r="C16" s="25">
        <f>B16</f>
        <v>0</v>
      </c>
      <c r="D16" s="24"/>
      <c r="E16" s="24"/>
    </row>
    <row r="17" spans="1:5" ht="15.75" customHeight="1">
      <c r="A17" s="24"/>
      <c r="B17" s="24"/>
      <c r="C17" s="24"/>
      <c r="D17" s="24"/>
      <c r="E17" s="24"/>
    </row>
    <row r="18" spans="1:5" ht="15.75" customHeight="1">
      <c r="A18" s="24" t="s">
        <v>29</v>
      </c>
      <c r="B18" s="24"/>
      <c r="C18" s="24"/>
      <c r="D18" s="24"/>
      <c r="E18" s="24"/>
    </row>
    <row r="19" spans="1:5" ht="15.75" customHeight="1">
      <c r="A19" s="24" t="s">
        <v>23</v>
      </c>
      <c r="B19" s="24" t="s">
        <v>26</v>
      </c>
      <c r="C19" s="24" t="s">
        <v>27</v>
      </c>
      <c r="D19" s="24"/>
      <c r="E19" s="24"/>
    </row>
    <row r="20" spans="1:5" ht="15.75" customHeight="1">
      <c r="A20" s="25">
        <f>IF(OperationsEuros!$B$2="Suisse",OperationsEuros!$B$3*0.45/100,0)</f>
        <v>0</v>
      </c>
      <c r="B20" s="25">
        <f>IF(OperationsEuros!$B$2&lt;&gt;"Suisse",0,IF(A20&lt;=32.9,32.9,OperationsEuros!$B$3*0.45/100))</f>
        <v>0</v>
      </c>
      <c r="C20" s="25">
        <f>B20</f>
        <v>0</v>
      </c>
      <c r="D20" s="24"/>
      <c r="E20" s="24"/>
    </row>
    <row r="21" spans="1:5" ht="15.75" customHeight="1">
      <c r="A21" s="24"/>
      <c r="B21" s="24"/>
      <c r="C21" s="24"/>
      <c r="D21" s="24"/>
      <c r="E21" s="24"/>
    </row>
    <row r="22" spans="1:5" ht="15.75" customHeight="1">
      <c r="A22" s="24" t="s">
        <v>30</v>
      </c>
      <c r="B22" s="24"/>
      <c r="C22" s="24"/>
      <c r="D22" s="24"/>
      <c r="E22" s="24"/>
    </row>
    <row r="23" spans="1:5" ht="15.75" customHeight="1">
      <c r="A23" s="24" t="s">
        <v>23</v>
      </c>
      <c r="B23" s="24" t="s">
        <v>26</v>
      </c>
      <c r="C23" s="24" t="s">
        <v>27</v>
      </c>
      <c r="D23" s="24"/>
      <c r="E23" s="24"/>
    </row>
    <row r="24" spans="1:5" ht="15.75" customHeight="1">
      <c r="A24" s="26" t="b">
        <f>IF(OperationsEuros!$B$2="Portugal","Non disponible")</f>
        <v>0</v>
      </c>
      <c r="B24" s="25">
        <f>IF(OperationsEuros!$B$2&lt;&gt;"Portugal",0,IF(A24&lt;18,18,A24))</f>
        <v>0</v>
      </c>
      <c r="C24" s="25">
        <f>B24</f>
        <v>0</v>
      </c>
      <c r="D24" s="24"/>
      <c r="E24" s="24"/>
    </row>
    <row r="25" spans="1:5" ht="15.75" customHeight="1">
      <c r="A25" s="24"/>
      <c r="B25" s="24"/>
      <c r="C25" s="24"/>
      <c r="D25" s="24"/>
      <c r="E25" s="24"/>
    </row>
    <row r="26" spans="1:5" ht="15.75" customHeight="1">
      <c r="A26" s="24" t="s">
        <v>31</v>
      </c>
      <c r="B26" s="24"/>
      <c r="C26" s="24"/>
      <c r="D26" s="24"/>
      <c r="E26" s="24"/>
    </row>
    <row r="27" spans="1:5" ht="12.45">
      <c r="A27" s="24" t="s">
        <v>23</v>
      </c>
      <c r="B27" s="24" t="s">
        <v>26</v>
      </c>
      <c r="C27" s="24" t="s">
        <v>27</v>
      </c>
      <c r="D27" s="24"/>
      <c r="E27" s="24"/>
    </row>
    <row r="28" spans="1:5" ht="12.45">
      <c r="A28" s="25">
        <f>IF(OperationsEuros!$B$2="Italie",OperationsEuros!$B$3*0.45/100,0)</f>
        <v>0</v>
      </c>
      <c r="B28" s="25">
        <f>IF(OperationsEuros!$B$2&lt;&gt;"Italie",0,IF(A28&lt;=32.9,32.9,OperationsEuros!$B$3*0.45/100))</f>
        <v>0</v>
      </c>
      <c r="C28" s="25">
        <f>B28</f>
        <v>0</v>
      </c>
      <c r="D28" s="24"/>
      <c r="E28" s="24"/>
    </row>
    <row r="29" spans="1:5" ht="12.45">
      <c r="A29" s="24"/>
      <c r="B29" s="24"/>
      <c r="C29" s="24"/>
      <c r="D29" s="24"/>
      <c r="E29" s="24"/>
    </row>
    <row r="30" spans="1:5" ht="12.45">
      <c r="A30" s="24" t="s">
        <v>32</v>
      </c>
      <c r="B30" s="24"/>
      <c r="C30" s="24"/>
      <c r="D30" s="24"/>
      <c r="E30" s="24"/>
    </row>
    <row r="31" spans="1:5" ht="12.45">
      <c r="A31" s="24" t="s">
        <v>23</v>
      </c>
      <c r="B31" s="24" t="s">
        <v>26</v>
      </c>
      <c r="C31" s="24" t="s">
        <v>27</v>
      </c>
      <c r="D31" s="24"/>
      <c r="E31" s="24"/>
    </row>
    <row r="32" spans="1:5" ht="12.45">
      <c r="A32" s="26" t="b">
        <f>IF(OperationsEuros!$B$2="Irlande","Non disponible")</f>
        <v>0</v>
      </c>
      <c r="B32" s="25">
        <f>IF(OperationsEuros!$B$2&lt;&gt;"Irlande",0,IF(A32&lt;18,18,A32))</f>
        <v>0</v>
      </c>
      <c r="C32" s="25">
        <f>B32</f>
        <v>0</v>
      </c>
      <c r="D32" s="24"/>
      <c r="E32" s="24"/>
    </row>
    <row r="33" spans="1:5" ht="12.45">
      <c r="A33" s="24"/>
      <c r="B33" s="24"/>
      <c r="C33" s="24"/>
      <c r="D33" s="24"/>
      <c r="E33" s="24"/>
    </row>
    <row r="34" spans="1:5" ht="12.45">
      <c r="A34" s="24" t="s">
        <v>33</v>
      </c>
      <c r="B34" s="24"/>
      <c r="C34" s="24"/>
      <c r="D34" s="24"/>
      <c r="E34" s="24"/>
    </row>
    <row r="35" spans="1:5" ht="12.45">
      <c r="A35" s="24" t="s">
        <v>23</v>
      </c>
      <c r="B35" s="24" t="s">
        <v>26</v>
      </c>
      <c r="C35" s="24" t="s">
        <v>27</v>
      </c>
      <c r="D35" s="24"/>
      <c r="E35" s="24"/>
    </row>
    <row r="36" spans="1:5" ht="12.45">
      <c r="A36" s="26" t="b">
        <f>IF(OperationsEuros!$B$2="Autriche","Non disponible")</f>
        <v>0</v>
      </c>
      <c r="B36" s="25">
        <f>IF(OperationsEuros!$B$2&lt;&gt;"Autriche",0,IF(A36&lt;18,18,A36))</f>
        <v>0</v>
      </c>
      <c r="C36" s="25">
        <f>B36</f>
        <v>0</v>
      </c>
      <c r="D36" s="24"/>
      <c r="E36" s="24"/>
    </row>
  </sheetData>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36"/>
  <sheetViews>
    <sheetView workbookViewId="0"/>
  </sheetViews>
  <sheetFormatPr baseColWidth="10" defaultColWidth="14.4609375" defaultRowHeight="15.75" customHeight="1"/>
  <cols>
    <col min="1" max="1" width="28.15234375" customWidth="1"/>
    <col min="2" max="2" width="15.3046875" customWidth="1"/>
  </cols>
  <sheetData>
    <row r="1" spans="1:11" ht="15.45">
      <c r="A1" s="6"/>
      <c r="B1" s="7" t="s">
        <v>0</v>
      </c>
      <c r="F1" s="8"/>
      <c r="G1" s="6" t="s">
        <v>17</v>
      </c>
      <c r="H1" s="7" t="s">
        <v>0</v>
      </c>
      <c r="I1" s="7"/>
      <c r="J1" s="9"/>
      <c r="K1" s="9"/>
    </row>
    <row r="2" spans="1:11" ht="15.45">
      <c r="A2" s="10" t="s">
        <v>18</v>
      </c>
      <c r="B2" s="11">
        <f>IF(OperationsEuros!$B$2="Euronext (Paris, Bruxelles, Amstedam)",B4,E10)</f>
        <v>30</v>
      </c>
      <c r="G2" s="10" t="s">
        <v>18</v>
      </c>
      <c r="H2" s="13">
        <f>H6</f>
        <v>23.9</v>
      </c>
      <c r="I2" s="12">
        <f t="shared" ref="I2:I4" si="0">H2/$H$4</f>
        <v>0.69820613727999337</v>
      </c>
      <c r="J2" s="14"/>
      <c r="K2" s="14"/>
    </row>
    <row r="3" spans="1:11" ht="15.45">
      <c r="G3" s="15" t="s">
        <v>19</v>
      </c>
      <c r="H3" s="16">
        <f>K3-K4</f>
        <v>10.330578512396642</v>
      </c>
      <c r="I3" s="17">
        <f t="shared" si="0"/>
        <v>0.30179386272000669</v>
      </c>
      <c r="J3" s="14">
        <f>TauxChange!$B$1/(1+0.25/100)</f>
        <v>1.2069825436408979</v>
      </c>
      <c r="K3" s="18">
        <f>OperationsUSD!B4/J3</f>
        <v>4142.5619834710742</v>
      </c>
    </row>
    <row r="4" spans="1:11" ht="15.45">
      <c r="B4">
        <f>SUM(B6:B7)</f>
        <v>30</v>
      </c>
      <c r="G4" s="15" t="s">
        <v>20</v>
      </c>
      <c r="H4" s="16">
        <f>H2+H3</f>
        <v>34.23057851239664</v>
      </c>
      <c r="I4" s="14">
        <f t="shared" si="0"/>
        <v>1</v>
      </c>
      <c r="J4" s="19">
        <f>TauxChange!$B$1</f>
        <v>1.21</v>
      </c>
      <c r="K4" s="20">
        <f>OperationsUSD!B4/J4</f>
        <v>4132.2314049586776</v>
      </c>
    </row>
    <row r="5" spans="1:11" ht="15.75" customHeight="1">
      <c r="A5" s="21" t="s">
        <v>21</v>
      </c>
    </row>
    <row r="6" spans="1:11" ht="15.75" customHeight="1">
      <c r="A6" s="21" t="s">
        <v>34</v>
      </c>
      <c r="B6">
        <f>IF(OperationsEuros!$B$3&lt;=500,1.99,0)</f>
        <v>0</v>
      </c>
      <c r="F6" s="21" t="s">
        <v>23</v>
      </c>
      <c r="G6" s="22">
        <f>OperationsUSD!$B$5*0.12/100</f>
        <v>4.9586776859504127</v>
      </c>
      <c r="H6">
        <f>IF(G6&lt;23.9,23.9,G6)</f>
        <v>23.9</v>
      </c>
    </row>
    <row r="7" spans="1:11" ht="15.75" customHeight="1">
      <c r="A7" s="21" t="s">
        <v>35</v>
      </c>
      <c r="B7" s="23">
        <f>IF(OperationsEuros!$B$3&gt;500,OperationsEuros!$B$3*0.6/100,0)</f>
        <v>30</v>
      </c>
    </row>
    <row r="10" spans="1:11" ht="15.75" customHeight="1">
      <c r="A10" s="24" t="s">
        <v>25</v>
      </c>
      <c r="B10" s="24"/>
      <c r="C10" s="24"/>
      <c r="D10" s="24"/>
      <c r="E10" s="25">
        <f>IFERROR(C12+C16+C20+C24+C28+C32+C36,"Non disponible")</f>
        <v>0</v>
      </c>
    </row>
    <row r="11" spans="1:11" ht="15.75" customHeight="1">
      <c r="A11" s="24" t="s">
        <v>23</v>
      </c>
      <c r="B11" s="24" t="s">
        <v>26</v>
      </c>
      <c r="C11" s="24" t="s">
        <v>27</v>
      </c>
      <c r="D11" s="24"/>
      <c r="E11" s="24"/>
    </row>
    <row r="12" spans="1:11" ht="15.75" customHeight="1">
      <c r="A12" s="25">
        <f>IF(OperationsEuros!$B$2="Allemagne",OperationsEuros!$B$3*0.45/100,0)</f>
        <v>0</v>
      </c>
      <c r="B12" s="25">
        <f>IF(OperationsEuros!$B$2&lt;&gt;"Allemagne",0,IF(A12&lt;=32.9,32.9,OperationsEuros!$B$3*0.45/100))</f>
        <v>0</v>
      </c>
      <c r="C12" s="25">
        <f>B12</f>
        <v>0</v>
      </c>
      <c r="D12" s="24"/>
      <c r="E12" s="24"/>
    </row>
    <row r="13" spans="1:11" ht="15.75" customHeight="1">
      <c r="A13" s="24"/>
      <c r="B13" s="24"/>
      <c r="C13" s="24"/>
      <c r="D13" s="24"/>
      <c r="E13" s="24"/>
    </row>
    <row r="14" spans="1:11" ht="15.75" customHeight="1">
      <c r="A14" s="24" t="s">
        <v>28</v>
      </c>
      <c r="B14" s="24"/>
      <c r="C14" s="24"/>
      <c r="D14" s="24"/>
      <c r="E14" s="24"/>
    </row>
    <row r="15" spans="1:11" ht="15.75" customHeight="1">
      <c r="A15" s="24" t="s">
        <v>23</v>
      </c>
      <c r="B15" s="24" t="s">
        <v>26</v>
      </c>
      <c r="C15" s="24" t="s">
        <v>27</v>
      </c>
      <c r="D15" s="24"/>
      <c r="E15" s="24"/>
    </row>
    <row r="16" spans="1:11" ht="15.75" customHeight="1">
      <c r="A16" s="25">
        <f>IF(OperationsEuros!$B$2="Espagne",OperationsEuros!$B$3*0.45/100,0)</f>
        <v>0</v>
      </c>
      <c r="B16" s="25">
        <f>IF(OperationsEuros!$B$2&lt;&gt;"Espagne",0,IF(A16&lt;=32.9,32.9,OperationsEuros!$B$3*0.45/100))</f>
        <v>0</v>
      </c>
      <c r="C16" s="25">
        <f>B16</f>
        <v>0</v>
      </c>
      <c r="D16" s="24"/>
      <c r="E16" s="24"/>
    </row>
    <row r="17" spans="1:5" ht="15.75" customHeight="1">
      <c r="A17" s="24"/>
      <c r="B17" s="24"/>
      <c r="C17" s="24"/>
      <c r="D17" s="24"/>
      <c r="E17" s="24"/>
    </row>
    <row r="18" spans="1:5" ht="15.75" customHeight="1">
      <c r="A18" s="24" t="s">
        <v>29</v>
      </c>
      <c r="B18" s="24"/>
      <c r="C18" s="24"/>
      <c r="D18" s="24"/>
      <c r="E18" s="24"/>
    </row>
    <row r="19" spans="1:5" ht="15.75" customHeight="1">
      <c r="A19" s="24" t="s">
        <v>23</v>
      </c>
      <c r="B19" s="24" t="s">
        <v>26</v>
      </c>
      <c r="C19" s="24" t="s">
        <v>27</v>
      </c>
      <c r="D19" s="24"/>
      <c r="E19" s="24"/>
    </row>
    <row r="20" spans="1:5" ht="15.75" customHeight="1">
      <c r="A20" s="25">
        <f>IF(OperationsEuros!$B$2="Suisse",OperationsEuros!$B$3*0.45/100,0)</f>
        <v>0</v>
      </c>
      <c r="B20" s="25">
        <f>IF(OperationsEuros!$B$2&lt;&gt;"Suisse",0,IF(A20&lt;=32.9,32.9,OperationsEuros!$B$3*0.45/100))</f>
        <v>0</v>
      </c>
      <c r="C20" s="25">
        <f>B20</f>
        <v>0</v>
      </c>
      <c r="D20" s="24"/>
      <c r="E20" s="24"/>
    </row>
    <row r="21" spans="1:5" ht="15.75" customHeight="1">
      <c r="A21" s="24"/>
      <c r="B21" s="24"/>
      <c r="C21" s="24"/>
      <c r="D21" s="24"/>
      <c r="E21" s="24"/>
    </row>
    <row r="22" spans="1:5" ht="15.75" customHeight="1">
      <c r="A22" s="24" t="s">
        <v>30</v>
      </c>
      <c r="B22" s="24"/>
      <c r="C22" s="24"/>
      <c r="D22" s="24"/>
      <c r="E22" s="24"/>
    </row>
    <row r="23" spans="1:5" ht="15.75" customHeight="1">
      <c r="A23" s="24" t="s">
        <v>23</v>
      </c>
      <c r="B23" s="24" t="s">
        <v>26</v>
      </c>
      <c r="C23" s="24" t="s">
        <v>27</v>
      </c>
      <c r="D23" s="24"/>
      <c r="E23" s="24"/>
    </row>
    <row r="24" spans="1:5" ht="15.75" customHeight="1">
      <c r="A24" s="26" t="b">
        <f>IF(OperationsEuros!$B$2="Portugal","Non disponible")</f>
        <v>0</v>
      </c>
      <c r="B24" s="25">
        <f>IF(OperationsEuros!$B$2&lt;&gt;"Portugal",0,IF(A24&lt;18,18,A24))</f>
        <v>0</v>
      </c>
      <c r="C24" s="25">
        <f>B24</f>
        <v>0</v>
      </c>
      <c r="D24" s="24"/>
      <c r="E24" s="24"/>
    </row>
    <row r="25" spans="1:5" ht="15.75" customHeight="1">
      <c r="A25" s="24"/>
      <c r="B25" s="24"/>
      <c r="C25" s="24"/>
      <c r="D25" s="24"/>
      <c r="E25" s="24"/>
    </row>
    <row r="26" spans="1:5" ht="15.75" customHeight="1">
      <c r="A26" s="24" t="s">
        <v>31</v>
      </c>
      <c r="B26" s="24"/>
      <c r="C26" s="24"/>
      <c r="D26" s="24"/>
      <c r="E26" s="24"/>
    </row>
    <row r="27" spans="1:5" ht="12.45">
      <c r="A27" s="24" t="s">
        <v>23</v>
      </c>
      <c r="B27" s="24" t="s">
        <v>26</v>
      </c>
      <c r="C27" s="24" t="s">
        <v>27</v>
      </c>
      <c r="D27" s="24"/>
      <c r="E27" s="24"/>
    </row>
    <row r="28" spans="1:5" ht="12.45">
      <c r="A28" s="25">
        <f>IF(OperationsEuros!$B$2="Italie",OperationsEuros!$B$3*0.45/100,0)</f>
        <v>0</v>
      </c>
      <c r="B28" s="25">
        <f>IF(OperationsEuros!$B$2&lt;&gt;"Italie",0,IF(A28&lt;=32.9,32.9,OperationsEuros!$B$3*0.45/100))</f>
        <v>0</v>
      </c>
      <c r="C28" s="25">
        <f>B28</f>
        <v>0</v>
      </c>
      <c r="D28" s="24"/>
      <c r="E28" s="24"/>
    </row>
    <row r="29" spans="1:5" ht="12.45">
      <c r="A29" s="24"/>
      <c r="B29" s="24"/>
      <c r="C29" s="24"/>
      <c r="D29" s="24"/>
      <c r="E29" s="24"/>
    </row>
    <row r="30" spans="1:5" ht="12.45">
      <c r="A30" s="24" t="s">
        <v>32</v>
      </c>
      <c r="B30" s="24"/>
      <c r="C30" s="24"/>
      <c r="D30" s="24"/>
      <c r="E30" s="24"/>
    </row>
    <row r="31" spans="1:5" ht="12.45">
      <c r="A31" s="24" t="s">
        <v>23</v>
      </c>
      <c r="B31" s="24" t="s">
        <v>26</v>
      </c>
      <c r="C31" s="24" t="s">
        <v>27</v>
      </c>
      <c r="D31" s="24"/>
      <c r="E31" s="24"/>
    </row>
    <row r="32" spans="1:5" ht="12.45">
      <c r="A32" s="26" t="b">
        <f>IF(OperationsEuros!$B$2="Irlande","Non disponible")</f>
        <v>0</v>
      </c>
      <c r="B32" s="25">
        <f>IF(OperationsEuros!$B$2&lt;&gt;"Irlande",0,IF(A32&lt;18,18,A32))</f>
        <v>0</v>
      </c>
      <c r="C32" s="25">
        <f>B32</f>
        <v>0</v>
      </c>
      <c r="D32" s="24"/>
      <c r="E32" s="24"/>
    </row>
    <row r="33" spans="1:5" ht="12.45">
      <c r="A33" s="24"/>
      <c r="B33" s="24"/>
      <c r="C33" s="24"/>
      <c r="D33" s="24"/>
      <c r="E33" s="24"/>
    </row>
    <row r="34" spans="1:5" ht="12.45">
      <c r="A34" s="24" t="s">
        <v>33</v>
      </c>
      <c r="B34" s="24"/>
      <c r="C34" s="24"/>
      <c r="D34" s="24"/>
      <c r="E34" s="24"/>
    </row>
    <row r="35" spans="1:5" ht="12.45">
      <c r="A35" s="24" t="s">
        <v>23</v>
      </c>
      <c r="B35" s="24" t="s">
        <v>26</v>
      </c>
      <c r="C35" s="24" t="s">
        <v>27</v>
      </c>
      <c r="D35" s="24"/>
      <c r="E35" s="24"/>
    </row>
    <row r="36" spans="1:5" ht="12.45">
      <c r="A36" s="26" t="b">
        <f>IF(OperationsEuros!$B$2="Autriche","Non disponible")</f>
        <v>0</v>
      </c>
      <c r="B36" s="25">
        <f>IF(OperationsEuros!$B$2&lt;&gt;"Autriche",0,IF(A36&lt;18,18,A36))</f>
        <v>0</v>
      </c>
      <c r="C36" s="25">
        <f>B36</f>
        <v>0</v>
      </c>
      <c r="D36" s="24"/>
      <c r="E36" s="24"/>
    </row>
  </sheetData>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U36"/>
  <sheetViews>
    <sheetView workbookViewId="0">
      <selection activeCell="J3" sqref="J3"/>
    </sheetView>
  </sheetViews>
  <sheetFormatPr baseColWidth="10" defaultColWidth="14.4609375" defaultRowHeight="15.75" customHeight="1"/>
  <cols>
    <col min="1" max="1" width="28.15234375" customWidth="1"/>
    <col min="2" max="2" width="14.4609375" customWidth="1"/>
    <col min="3" max="3" width="8.4609375" customWidth="1"/>
  </cols>
  <sheetData>
    <row r="1" spans="1:21" ht="15.45">
      <c r="A1" s="6" t="s">
        <v>36</v>
      </c>
      <c r="B1" s="7" t="s">
        <v>0</v>
      </c>
      <c r="C1" s="7"/>
      <c r="D1" s="8"/>
      <c r="E1" s="8"/>
      <c r="F1" s="6" t="s">
        <v>17</v>
      </c>
      <c r="G1" s="7" t="s">
        <v>36</v>
      </c>
      <c r="H1" s="7" t="s">
        <v>37</v>
      </c>
      <c r="I1" s="7"/>
      <c r="J1" s="9"/>
      <c r="K1" s="9"/>
      <c r="L1" s="8"/>
      <c r="M1" s="8"/>
      <c r="N1" s="8"/>
      <c r="O1" s="8"/>
      <c r="P1" s="8"/>
      <c r="Q1" s="8"/>
      <c r="R1" s="8"/>
      <c r="S1" s="8"/>
      <c r="T1" s="8"/>
      <c r="U1" s="8"/>
    </row>
    <row r="2" spans="1:21" ht="15.45">
      <c r="A2" s="10" t="s">
        <v>18</v>
      </c>
      <c r="B2" s="11">
        <f>IF(OperationsEuros!$B$2="Euronext (Paris, Bruxelles, Amstedam)",B6,B8)</f>
        <v>6</v>
      </c>
      <c r="C2" s="12" t="e">
        <f>B2/#REF!</f>
        <v>#REF!</v>
      </c>
      <c r="F2" s="10" t="s">
        <v>18</v>
      </c>
      <c r="G2" s="13">
        <f>H2/TauxChange!$B$1</f>
        <v>0.82644628099173556</v>
      </c>
      <c r="H2" s="27">
        <f>H6</f>
        <v>1</v>
      </c>
      <c r="I2" s="12">
        <f t="shared" ref="I2:I4" si="0">G2/$G$4</f>
        <v>0.16666666666666666</v>
      </c>
      <c r="J2" s="14"/>
      <c r="K2" s="14"/>
    </row>
    <row r="3" spans="1:21" ht="15.45">
      <c r="F3" s="15" t="s">
        <v>19</v>
      </c>
      <c r="G3" s="16">
        <f>MAX(K3-K4,5)/TauxChange!B1</f>
        <v>4.1322314049586781</v>
      </c>
      <c r="H3" s="17"/>
      <c r="I3" s="17">
        <f t="shared" si="0"/>
        <v>0.83333333333333337</v>
      </c>
      <c r="J3" s="14">
        <f>TauxChange!$B$1/(1+0.005/100)</f>
        <v>1.2099395030248485</v>
      </c>
      <c r="K3" s="18">
        <f>OperationsUSD!B4/J3</f>
        <v>4132.4380165289267</v>
      </c>
    </row>
    <row r="4" spans="1:21" ht="15.45">
      <c r="F4" s="15" t="s">
        <v>20</v>
      </c>
      <c r="G4" s="16">
        <f>G2+G3</f>
        <v>4.9586776859504136</v>
      </c>
      <c r="H4" s="14"/>
      <c r="I4" s="14">
        <f t="shared" si="0"/>
        <v>1</v>
      </c>
      <c r="J4" s="19">
        <f>TauxChange!$B$1</f>
        <v>1.21</v>
      </c>
      <c r="K4" s="20">
        <f>OperationsUSD!B4/J4</f>
        <v>4132.2314049586776</v>
      </c>
    </row>
    <row r="5" spans="1:21" ht="15.75" customHeight="1">
      <c r="A5" s="21" t="s">
        <v>38</v>
      </c>
    </row>
    <row r="6" spans="1:21" ht="15.75" customHeight="1">
      <c r="A6" s="23">
        <f>OperationsEuros!B3*0.09/100</f>
        <v>4.5</v>
      </c>
      <c r="B6">
        <f>IF(A6&lt;6,6,IF(A6&gt;39,39,A6))</f>
        <v>6</v>
      </c>
      <c r="E6" s="21" t="s">
        <v>23</v>
      </c>
      <c r="H6">
        <f>H7+H8</f>
        <v>1</v>
      </c>
      <c r="I6">
        <f>IF(G6&gt;OperationsUSD!$B$4*1/100,OperationsUSD!$B$4*1/100,G6)</f>
        <v>0</v>
      </c>
    </row>
    <row r="7" spans="1:21" ht="15.75" customHeight="1">
      <c r="G7" s="21" t="s">
        <v>39</v>
      </c>
      <c r="H7">
        <f>IF(OperationsUSD!B3&lt;2000,0.01*OperationsUSD!B3,0)</f>
        <v>1</v>
      </c>
    </row>
    <row r="8" spans="1:21" ht="15.75" customHeight="1">
      <c r="A8" s="21" t="s">
        <v>40</v>
      </c>
      <c r="B8">
        <f>SUM(B10:B40)</f>
        <v>0</v>
      </c>
      <c r="G8" s="21" t="s">
        <v>41</v>
      </c>
      <c r="H8">
        <f>IF(OperationsUSD!B3&gt;2000,0.01*2000+(OperationsUSD!B3-2000)*0.005,0)</f>
        <v>0</v>
      </c>
    </row>
    <row r="10" spans="1:21" ht="15.75" customHeight="1">
      <c r="A10" s="21" t="s">
        <v>25</v>
      </c>
      <c r="G10" s="21">
        <v>0.5</v>
      </c>
      <c r="H10">
        <f>G10/1000</f>
        <v>5.0000000000000001E-4</v>
      </c>
      <c r="I10">
        <f>H10*100</f>
        <v>0.05</v>
      </c>
    </row>
    <row r="11" spans="1:21" ht="15.75" customHeight="1">
      <c r="A11" s="21" t="s">
        <v>23</v>
      </c>
      <c r="B11" s="21" t="s">
        <v>26</v>
      </c>
    </row>
    <row r="12" spans="1:21" ht="15.75" customHeight="1">
      <c r="A12">
        <f>IF(OperationsEuros!$B$2="Allemagne",OperationsEuros!$B$3*0.14/100,0)</f>
        <v>0</v>
      </c>
      <c r="B12">
        <f>IF(OperationsEuros!$B$2&lt;&gt;"Allemagne",0,IF(A12&lt;6,6,IF(A12&gt;99,99,A12)))</f>
        <v>0</v>
      </c>
    </row>
    <row r="14" spans="1:21" ht="15.75" customHeight="1">
      <c r="A14" s="21" t="s">
        <v>28</v>
      </c>
    </row>
    <row r="15" spans="1:21" ht="15.75" customHeight="1">
      <c r="A15" s="21" t="s">
        <v>23</v>
      </c>
      <c r="B15" s="21" t="s">
        <v>26</v>
      </c>
    </row>
    <row r="16" spans="1:21" ht="15.75" customHeight="1">
      <c r="A16">
        <f>IF(OperationsEuros!$B$2="Espagne",OperationsEuros!$B$3*0.14/100,0)</f>
        <v>0</v>
      </c>
      <c r="B16">
        <f>IF(OperationsEuros!$B$2&lt;&gt;"Espagne",0,IF(A16&lt;4,4,IF(A16&gt;39,39,A16)))</f>
        <v>0</v>
      </c>
    </row>
    <row r="18" spans="1:2" ht="15.75" customHeight="1">
      <c r="A18" s="21" t="s">
        <v>29</v>
      </c>
    </row>
    <row r="19" spans="1:2" ht="15.75" customHeight="1">
      <c r="A19" s="21" t="s">
        <v>23</v>
      </c>
      <c r="B19" s="21" t="s">
        <v>26</v>
      </c>
    </row>
    <row r="20" spans="1:2" ht="15.75" customHeight="1">
      <c r="A20">
        <f>IF(OperationsEuros!$B$2="Suisse",OperationsEuros!$B$3*0.1/100,0)</f>
        <v>0</v>
      </c>
      <c r="B20">
        <f>IF(OperationsEuros!$B$2&lt;&gt;"Suisse",0,IF(A20&lt;10,10,A20))</f>
        <v>0</v>
      </c>
    </row>
    <row r="22" spans="1:2" ht="15.75" customHeight="1">
      <c r="A22" s="21" t="s">
        <v>30</v>
      </c>
    </row>
    <row r="23" spans="1:2" ht="15.75" customHeight="1">
      <c r="A23" s="21" t="s">
        <v>23</v>
      </c>
      <c r="B23" s="21" t="s">
        <v>26</v>
      </c>
    </row>
    <row r="24" spans="1:2" ht="15.75" customHeight="1">
      <c r="A24">
        <f>IF(OperationsEuros!$B$2="Portugal",OperationsEuros!$B$3*0.14/100,0)</f>
        <v>0</v>
      </c>
      <c r="B24">
        <f>IF(OperationsEuros!$B$2&lt;&gt;"Portugal",0,IF(A24&lt;10,10,A24))</f>
        <v>0</v>
      </c>
    </row>
    <row r="26" spans="1:2" ht="15.75" customHeight="1">
      <c r="A26" s="21" t="s">
        <v>31</v>
      </c>
    </row>
    <row r="27" spans="1:2" ht="12.45">
      <c r="A27" s="21" t="s">
        <v>23</v>
      </c>
      <c r="B27" s="21" t="s">
        <v>26</v>
      </c>
    </row>
    <row r="28" spans="1:2" ht="12.45">
      <c r="A28">
        <f>IF(OperationsEuros!$B$2="Italie",OperationsEuros!$B$3*0.14/100,0)</f>
        <v>0</v>
      </c>
      <c r="B28">
        <f>IF(OperationsEuros!$B$2&lt;&gt;"Italie",0,IF(A28&lt;6,6,IF(A28&gt;39,39,A28)))</f>
        <v>0</v>
      </c>
    </row>
    <row r="30" spans="1:2" ht="12.45">
      <c r="A30" s="21" t="s">
        <v>32</v>
      </c>
    </row>
    <row r="31" spans="1:2" ht="12.45">
      <c r="A31" s="21" t="s">
        <v>23</v>
      </c>
      <c r="B31" s="21" t="s">
        <v>26</v>
      </c>
    </row>
    <row r="32" spans="1:2" ht="12.45">
      <c r="A32">
        <f>IF(OperationsEuros!$B$2="Irlande",OperationsEuros!$B$3*0.14/100,0)</f>
        <v>0</v>
      </c>
      <c r="B32">
        <f>IF(OperationsEuros!$B$2&lt;&gt;"Irlande",0,IF(A32&lt;9,9,A32))</f>
        <v>0</v>
      </c>
    </row>
    <row r="34" spans="1:2" ht="12.45">
      <c r="A34" s="21" t="s">
        <v>33</v>
      </c>
    </row>
    <row r="35" spans="1:2" ht="12.45">
      <c r="A35" s="21" t="s">
        <v>23</v>
      </c>
      <c r="B35" s="21" t="s">
        <v>26</v>
      </c>
    </row>
    <row r="36" spans="1:2" ht="12.45">
      <c r="A36">
        <f>IF(OperationsEuros!$B$2="Autriche",OperationsEuros!$B$3*0.19/100,0)</f>
        <v>0</v>
      </c>
      <c r="B36">
        <f>IF(OperationsEuros!$B$2&lt;&gt;"Autriche",0,IF(A36&lt;6,6,A36))</f>
        <v>0</v>
      </c>
    </row>
  </sheetData>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outlinePr summaryBelow="0" summaryRight="0"/>
  </sheetPr>
  <dimension ref="A1:F40"/>
  <sheetViews>
    <sheetView workbookViewId="0">
      <selection activeCell="D14" sqref="D14"/>
    </sheetView>
  </sheetViews>
  <sheetFormatPr baseColWidth="10" defaultColWidth="14.4609375" defaultRowHeight="15.75" customHeight="1"/>
  <cols>
    <col min="1" max="1" width="26.15234375" bestFit="1" customWidth="1"/>
    <col min="2" max="2" width="29.15234375" bestFit="1" customWidth="1"/>
    <col min="3" max="3" width="17.61328125" bestFit="1" customWidth="1"/>
    <col min="4" max="4" width="28.921875" bestFit="1" customWidth="1"/>
  </cols>
  <sheetData>
    <row r="1" spans="1:6" ht="15.45">
      <c r="A1" s="66" t="s">
        <v>1</v>
      </c>
      <c r="B1" s="67" t="s">
        <v>42</v>
      </c>
      <c r="C1" s="68"/>
      <c r="D1" s="68"/>
      <c r="E1" s="68"/>
      <c r="F1" s="2"/>
    </row>
    <row r="2" spans="1:6" ht="15.45">
      <c r="A2" s="66" t="s">
        <v>43</v>
      </c>
      <c r="B2" s="62">
        <v>50</v>
      </c>
      <c r="C2" s="68"/>
      <c r="D2" s="68"/>
      <c r="E2" s="68"/>
      <c r="F2" s="2"/>
    </row>
    <row r="3" spans="1:6" ht="15.45">
      <c r="A3" s="66" t="s">
        <v>44</v>
      </c>
      <c r="B3" s="63">
        <v>100</v>
      </c>
      <c r="C3" s="68"/>
      <c r="D3" s="68"/>
      <c r="E3" s="68"/>
      <c r="F3" s="2"/>
    </row>
    <row r="4" spans="1:6" ht="15.45">
      <c r="A4" s="66" t="s">
        <v>45</v>
      </c>
      <c r="B4" s="64">
        <f>B3*B2</f>
        <v>5000</v>
      </c>
      <c r="C4" s="68"/>
      <c r="D4" s="68"/>
      <c r="E4" s="68"/>
      <c r="F4" s="2"/>
    </row>
    <row r="5" spans="1:6" ht="15.45">
      <c r="A5" s="69" t="s">
        <v>46</v>
      </c>
      <c r="B5" s="65">
        <f>B4/TauxChange!$B$1</f>
        <v>4132.2314049586776</v>
      </c>
      <c r="C5" s="68"/>
      <c r="D5" s="68"/>
      <c r="E5" s="68"/>
      <c r="F5" s="2"/>
    </row>
    <row r="6" spans="1:6" ht="15.75" customHeight="1">
      <c r="A6" s="70"/>
      <c r="B6" s="70"/>
      <c r="C6" s="70"/>
      <c r="D6" s="70"/>
      <c r="E6" s="70"/>
    </row>
    <row r="7" spans="1:6" ht="17.600000000000001">
      <c r="A7" s="71"/>
      <c r="B7" s="95" t="s">
        <v>107</v>
      </c>
      <c r="C7" s="96"/>
      <c r="D7" s="96"/>
      <c r="E7" s="96"/>
    </row>
    <row r="8" spans="1:6" ht="15.75" customHeight="1">
      <c r="A8" s="71"/>
      <c r="B8" s="72" t="s">
        <v>47</v>
      </c>
      <c r="C8" s="72" t="s">
        <v>48</v>
      </c>
      <c r="D8" s="73" t="s">
        <v>6</v>
      </c>
      <c r="E8" s="74" t="s">
        <v>49</v>
      </c>
    </row>
    <row r="9" spans="1:6" ht="15.45">
      <c r="A9" s="77" t="s">
        <v>8</v>
      </c>
      <c r="B9" s="78"/>
      <c r="C9" s="79">
        <f>FortuneoZeroCourtage!H4</f>
        <v>50</v>
      </c>
      <c r="D9" s="80">
        <f t="shared" ref="D9:D18" si="0">IFERROR(C9/$B$5,"")</f>
        <v>1.21E-2</v>
      </c>
      <c r="E9" s="89" t="s">
        <v>105</v>
      </c>
    </row>
    <row r="10" spans="1:6" ht="15.45">
      <c r="A10" s="77" t="s">
        <v>9</v>
      </c>
      <c r="B10" s="78"/>
      <c r="C10" s="79">
        <f>FortuneoOptimum!$H$4</f>
        <v>50</v>
      </c>
      <c r="D10" s="80">
        <f t="shared" si="0"/>
        <v>1.21E-2</v>
      </c>
      <c r="E10" s="89" t="s">
        <v>105</v>
      </c>
    </row>
    <row r="11" spans="1:6" ht="15.45">
      <c r="A11" s="77" t="s">
        <v>10</v>
      </c>
      <c r="B11" s="78"/>
      <c r="C11" s="79">
        <f>BoursoDecouverte!$H$4</f>
        <v>34.23057851239664</v>
      </c>
      <c r="D11" s="80">
        <f t="shared" si="0"/>
        <v>8.283799999999987E-3</v>
      </c>
      <c r="E11" s="89">
        <f>BoursoDecouverte!$I$3</f>
        <v>0.30179386272000669</v>
      </c>
    </row>
    <row r="12" spans="1:6" ht="15.45">
      <c r="A12" s="77" t="s">
        <v>11</v>
      </c>
      <c r="B12" s="78"/>
      <c r="C12" s="79">
        <f>BoursoClassic!$H$4</f>
        <v>34.23057851239664</v>
      </c>
      <c r="D12" s="80">
        <f t="shared" si="0"/>
        <v>8.283799999999987E-3</v>
      </c>
      <c r="E12" s="89">
        <f>BoursoClassic!$I$3</f>
        <v>0.30179386272000669</v>
      </c>
    </row>
    <row r="13" spans="1:6" ht="15.45">
      <c r="A13" s="77" t="s">
        <v>12</v>
      </c>
      <c r="B13" s="81">
        <f>SaxoBanque!$H$2</f>
        <v>8</v>
      </c>
      <c r="C13" s="79">
        <f>SaxoBanque!$G$4</f>
        <v>27.272727272727167</v>
      </c>
      <c r="D13" s="80">
        <f t="shared" si="0"/>
        <v>6.5999999999999748E-3</v>
      </c>
      <c r="E13" s="89">
        <f>SaxoBanque!$I$3</f>
        <v>0.75757575757575668</v>
      </c>
    </row>
    <row r="14" spans="1:6" ht="15.45">
      <c r="A14" s="77" t="s">
        <v>7</v>
      </c>
      <c r="B14" s="78"/>
      <c r="C14" s="79">
        <f>BourseDirect!$H$4</f>
        <v>11.805785123966416</v>
      </c>
      <c r="D14" s="80">
        <f t="shared" si="0"/>
        <v>2.8569999999998727E-3</v>
      </c>
      <c r="E14" s="89">
        <f>BourseDirect!$I$3</f>
        <v>0.28001400070000293</v>
      </c>
    </row>
    <row r="15" spans="1:6" ht="15.45">
      <c r="A15" s="77" t="s">
        <v>14</v>
      </c>
      <c r="B15" s="81">
        <f>Lynx!H2</f>
        <v>1</v>
      </c>
      <c r="C15" s="79">
        <f>Lynx!$G$4</f>
        <v>4.9586776859504136</v>
      </c>
      <c r="D15" s="80">
        <f t="shared" si="0"/>
        <v>1.2000000000000001E-3</v>
      </c>
      <c r="E15" s="89">
        <f>Lynx!$I$3</f>
        <v>0.83333333333333337</v>
      </c>
    </row>
    <row r="16" spans="1:6" ht="15.45">
      <c r="A16" s="77" t="s">
        <v>13</v>
      </c>
      <c r="B16" s="81">
        <f>IB!H2</f>
        <v>1</v>
      </c>
      <c r="C16" s="79">
        <f>IB!$G$4</f>
        <v>2.4793388429752068</v>
      </c>
      <c r="D16" s="80">
        <f t="shared" si="0"/>
        <v>6.0000000000000006E-4</v>
      </c>
      <c r="E16" s="89">
        <f>IB!$I$3</f>
        <v>0.66666666666666663</v>
      </c>
    </row>
    <row r="17" spans="1:5" ht="15.45">
      <c r="A17" s="77" t="s">
        <v>16</v>
      </c>
      <c r="B17" s="81">
        <f>DeGiro!H2</f>
        <v>1.0049999999999999</v>
      </c>
      <c r="C17" s="79">
        <f>DeGiro!$G$4</f>
        <v>4.9628099173551687</v>
      </c>
      <c r="D17" s="80">
        <f t="shared" si="0"/>
        <v>1.2009999999999508E-3</v>
      </c>
      <c r="E17" s="89">
        <f>DeGiro!$I$3</f>
        <v>0.83263946711073422</v>
      </c>
    </row>
    <row r="18" spans="1:5" ht="15.45">
      <c r="A18" s="77" t="s">
        <v>15</v>
      </c>
      <c r="B18" s="81">
        <v>0</v>
      </c>
      <c r="C18" s="79">
        <f>Trading212!G4</f>
        <v>6.1983471074381669</v>
      </c>
      <c r="D18" s="80">
        <f t="shared" si="0"/>
        <v>1.5000000000000365E-3</v>
      </c>
      <c r="E18" s="89">
        <f>Trading212!I3</f>
        <v>1</v>
      </c>
    </row>
    <row r="19" spans="1:5" ht="15.45">
      <c r="A19" s="75"/>
      <c r="B19" s="76"/>
      <c r="C19" s="70"/>
      <c r="D19" s="70"/>
      <c r="E19" s="70"/>
    </row>
    <row r="20" spans="1:5" ht="15.45">
      <c r="A20" s="3"/>
      <c r="B20" s="29"/>
    </row>
    <row r="21" spans="1:5" ht="15.75" customHeight="1">
      <c r="B21" s="28"/>
    </row>
    <row r="22" spans="1:5" ht="15.45">
      <c r="A22" s="3"/>
      <c r="B22" s="29"/>
    </row>
    <row r="23" spans="1:5" ht="15.45">
      <c r="A23" s="3"/>
      <c r="B23" s="28"/>
    </row>
    <row r="24" spans="1:5" ht="15.45">
      <c r="A24" s="3"/>
      <c r="B24" s="29"/>
    </row>
    <row r="25" spans="1:5" ht="15.75" customHeight="1">
      <c r="B25" s="28"/>
    </row>
    <row r="26" spans="1:5" ht="15.45">
      <c r="A26" s="3"/>
      <c r="B26" s="29"/>
    </row>
    <row r="27" spans="1:5" ht="15">
      <c r="B27" s="28"/>
    </row>
    <row r="40" spans="1:2" ht="15.45">
      <c r="A40" s="3" t="s">
        <v>13</v>
      </c>
      <c r="B40" s="30">
        <f>IB!G4</f>
        <v>2.4793388429752068</v>
      </c>
    </row>
  </sheetData>
  <sheetProtection algorithmName="SHA-512" hashValue="9Hb9/hZV/T5WsBki7ji0RJ5NgynJQqI398W9gomH3jbHel7s+qVk+xp9cInuELAZhoby58bFPknv2qluzRt+YQ==" saltValue="ArCM88s0G9+nK19SXw7DGA==" spinCount="100000" sheet="1" objects="1" scenarios="1"/>
  <mergeCells count="1">
    <mergeCell ref="B7:E7"/>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U36"/>
  <sheetViews>
    <sheetView workbookViewId="0">
      <selection activeCell="G3" sqref="G3"/>
    </sheetView>
  </sheetViews>
  <sheetFormatPr baseColWidth="10" defaultColWidth="14.4609375" defaultRowHeight="15.75" customHeight="1"/>
  <cols>
    <col min="1" max="1" width="28.15234375" customWidth="1"/>
    <col min="2" max="2" width="14.4609375" customWidth="1"/>
    <col min="3" max="3" width="8.4609375" customWidth="1"/>
  </cols>
  <sheetData>
    <row r="1" spans="1:21" ht="15.45">
      <c r="A1" s="6" t="s">
        <v>36</v>
      </c>
      <c r="B1" s="7" t="s">
        <v>0</v>
      </c>
      <c r="C1" s="7"/>
      <c r="D1" s="8"/>
      <c r="E1" s="8"/>
      <c r="F1" s="6" t="s">
        <v>17</v>
      </c>
      <c r="G1" s="7" t="s">
        <v>36</v>
      </c>
      <c r="H1" s="7" t="s">
        <v>37</v>
      </c>
      <c r="I1" s="7"/>
      <c r="J1" s="9"/>
      <c r="K1" s="9"/>
      <c r="L1" s="8"/>
      <c r="M1" s="8"/>
      <c r="N1" s="8"/>
      <c r="O1" s="8"/>
      <c r="P1" s="8"/>
      <c r="Q1" s="8"/>
      <c r="R1" s="8"/>
      <c r="S1" s="8"/>
      <c r="T1" s="8"/>
      <c r="U1" s="8"/>
    </row>
    <row r="2" spans="1:21" ht="15.45">
      <c r="A2" s="10" t="s">
        <v>18</v>
      </c>
      <c r="B2" s="11">
        <f>IF(OperationsEuros!$B$2="Euronext (Paris, Bruxelles, Amstedam)",B6,B8)</f>
        <v>2</v>
      </c>
      <c r="C2" s="12" t="e">
        <f>B2/#REF!</f>
        <v>#REF!</v>
      </c>
      <c r="F2" s="10" t="s">
        <v>18</v>
      </c>
      <c r="G2" s="13">
        <f>H2/TauxChange!$B$1</f>
        <v>0.83057851239669411</v>
      </c>
      <c r="H2" s="27">
        <f>H6</f>
        <v>1.0049999999999999</v>
      </c>
      <c r="I2" s="12">
        <f t="shared" ref="I2:I4" si="0">G2/$G$4</f>
        <v>0.16736053288926578</v>
      </c>
      <c r="J2" s="14"/>
      <c r="K2" s="14"/>
    </row>
    <row r="3" spans="1:21" ht="15.45">
      <c r="F3" s="15" t="s">
        <v>19</v>
      </c>
      <c r="G3" s="16">
        <f>(K3-K4)</f>
        <v>4.1322314049584747</v>
      </c>
      <c r="H3" s="17"/>
      <c r="I3" s="17">
        <f t="shared" si="0"/>
        <v>0.83263946711073422</v>
      </c>
      <c r="J3" s="14">
        <f>TauxChange!$B$1/(1+0.1/100)</f>
        <v>1.2087912087912089</v>
      </c>
      <c r="K3" s="18">
        <f>OperationsUSD!B4/J3</f>
        <v>4136.363636363636</v>
      </c>
    </row>
    <row r="4" spans="1:21" ht="15.45">
      <c r="F4" s="15" t="s">
        <v>20</v>
      </c>
      <c r="G4" s="16">
        <f>G2+G3</f>
        <v>4.9628099173551687</v>
      </c>
      <c r="H4" s="14"/>
      <c r="I4" s="14">
        <f t="shared" si="0"/>
        <v>1</v>
      </c>
      <c r="J4" s="19">
        <f>TauxChange!$B$1</f>
        <v>1.21</v>
      </c>
      <c r="K4" s="20">
        <f>OperationsUSD!B4/J4</f>
        <v>4132.2314049586776</v>
      </c>
    </row>
    <row r="5" spans="1:21" ht="15.75" customHeight="1">
      <c r="A5" s="21" t="s">
        <v>38</v>
      </c>
    </row>
    <row r="6" spans="1:21" ht="15.75" customHeight="1">
      <c r="A6" s="23">
        <f>OperationsEuros!B3*0.04/100</f>
        <v>2</v>
      </c>
      <c r="B6" s="23">
        <f>IF(A6&lt;30,A6,30)</f>
        <v>2</v>
      </c>
      <c r="E6" s="21" t="s">
        <v>23</v>
      </c>
      <c r="H6">
        <f>0.5*TauxChange!$B$1+0.004*OperationsUSD!B3</f>
        <v>1.0049999999999999</v>
      </c>
      <c r="I6">
        <f>IF(G6&gt;OperationsUSD!$B$4*1/100,OperationsUSD!$B$4*1/100,G6)</f>
        <v>0</v>
      </c>
    </row>
    <row r="8" spans="1:21" ht="15.75" customHeight="1">
      <c r="A8" s="21" t="s">
        <v>40</v>
      </c>
      <c r="B8">
        <f>SUM(B10:B40)</f>
        <v>0</v>
      </c>
    </row>
    <row r="10" spans="1:21" ht="15.75" customHeight="1">
      <c r="A10" s="21" t="s">
        <v>25</v>
      </c>
    </row>
    <row r="11" spans="1:21" ht="15.75" customHeight="1">
      <c r="A11" s="21" t="s">
        <v>23</v>
      </c>
      <c r="B11" s="21" t="s">
        <v>26</v>
      </c>
    </row>
    <row r="12" spans="1:21" ht="15.75" customHeight="1">
      <c r="A12">
        <f>IF(OperationsEuros!$B$2="Allemagne",OperationsEuros!$B$3*0.04/100+4,0)</f>
        <v>0</v>
      </c>
      <c r="B12">
        <f>IF(OperationsEuros!$B$2&lt;&gt;"Allemagne",0,IF(A12&lt;60,A12,60))</f>
        <v>0</v>
      </c>
    </row>
    <row r="14" spans="1:21" ht="15.75" customHeight="1">
      <c r="A14" s="21" t="s">
        <v>28</v>
      </c>
    </row>
    <row r="15" spans="1:21" ht="15.75" customHeight="1">
      <c r="A15" s="21" t="s">
        <v>23</v>
      </c>
      <c r="B15" s="21" t="s">
        <v>26</v>
      </c>
    </row>
    <row r="16" spans="1:21" ht="15.75" customHeight="1">
      <c r="A16">
        <f>IF(OperationsEuros!$B$2="Espagne",OperationsEuros!$B$3*0.04/100+4,0)</f>
        <v>0</v>
      </c>
      <c r="B16">
        <f>IF(OperationsEuros!$B$2&lt;&gt;"Espagne",0,IF(A16&lt;60,A16,60))</f>
        <v>0</v>
      </c>
    </row>
    <row r="18" spans="1:2" ht="15.75" customHeight="1">
      <c r="A18" s="21" t="s">
        <v>29</v>
      </c>
    </row>
    <row r="19" spans="1:2" ht="15.75" customHeight="1">
      <c r="A19" s="21" t="s">
        <v>23</v>
      </c>
      <c r="B19" s="21" t="s">
        <v>26</v>
      </c>
    </row>
    <row r="20" spans="1:2" ht="15.75" customHeight="1">
      <c r="A20">
        <f>IF(OperationsEuros!$B$2="Suisse",OperationsEuros!$B$3*0.04/100+4,0)</f>
        <v>0</v>
      </c>
      <c r="B20">
        <f>IF(OperationsEuros!$B$2&lt;&gt;"Suisse",0,IF(A20&lt;60,A20,60))</f>
        <v>0</v>
      </c>
    </row>
    <row r="22" spans="1:2" ht="15.75" customHeight="1">
      <c r="A22" s="21" t="s">
        <v>30</v>
      </c>
    </row>
    <row r="23" spans="1:2" ht="15.75" customHeight="1">
      <c r="A23" s="21" t="s">
        <v>23</v>
      </c>
      <c r="B23" s="21" t="s">
        <v>26</v>
      </c>
    </row>
    <row r="24" spans="1:2" ht="15.75" customHeight="1">
      <c r="A24">
        <f>IF(OperationsEuros!$B$2="Portugal",OperationsEuros!$B$3*0.04/100+4,0)</f>
        <v>0</v>
      </c>
      <c r="B24">
        <f>IF(OperationsEuros!$B$2&lt;&gt;"Portugal",0,IF(A24&lt;60,A24,60))</f>
        <v>0</v>
      </c>
    </row>
    <row r="26" spans="1:2" ht="15.75" customHeight="1">
      <c r="A26" s="21" t="s">
        <v>31</v>
      </c>
    </row>
    <row r="27" spans="1:2" ht="12.45">
      <c r="A27" s="21" t="s">
        <v>23</v>
      </c>
      <c r="B27" s="21" t="s">
        <v>26</v>
      </c>
    </row>
    <row r="28" spans="1:2" ht="12.45">
      <c r="A28">
        <f>IF(OperationsEuros!$B$2="Italie",OperationsEuros!$B$3*0.04/100+4,0)</f>
        <v>0</v>
      </c>
      <c r="B28">
        <f>IF(OperationsEuros!$B$2&lt;&gt;"Italie",0,IF(A28&lt;60,A28,60))</f>
        <v>0</v>
      </c>
    </row>
    <row r="30" spans="1:2" ht="12.45">
      <c r="A30" s="21" t="s">
        <v>32</v>
      </c>
    </row>
    <row r="31" spans="1:2" ht="12.45">
      <c r="A31" s="21" t="s">
        <v>23</v>
      </c>
      <c r="B31" s="21" t="s">
        <v>26</v>
      </c>
    </row>
    <row r="32" spans="1:2" ht="12.45">
      <c r="A32">
        <f>IF(OperationsEuros!$B$2="Irlande",OperationsEuros!$B$3*0.04/100+4,0)</f>
        <v>0</v>
      </c>
      <c r="B32">
        <f>IF(OperationsEuros!$B$2&lt;&gt;"Irlande",0,IF(A32&lt;60,A32,60))</f>
        <v>0</v>
      </c>
    </row>
    <row r="34" spans="1:2" ht="12.45">
      <c r="A34" s="21" t="s">
        <v>33</v>
      </c>
    </row>
    <row r="35" spans="1:2" ht="12.45">
      <c r="A35" s="21" t="s">
        <v>23</v>
      </c>
      <c r="B35" s="21" t="s">
        <v>26</v>
      </c>
    </row>
    <row r="36" spans="1:2" ht="12.45">
      <c r="A36">
        <f>IF(OperationsEuros!$B$2="Autriche",OperationsEuros!$B$3*0.04/100+4,0)</f>
        <v>0</v>
      </c>
      <c r="B36">
        <f>IF(OperationsEuros!$B$2&lt;&gt;"Autriche",0,IF(A36&lt;60,A36,60))</f>
        <v>0</v>
      </c>
    </row>
  </sheetData>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V41"/>
  <sheetViews>
    <sheetView workbookViewId="0"/>
  </sheetViews>
  <sheetFormatPr baseColWidth="10" defaultColWidth="14.4609375" defaultRowHeight="15.75" customHeight="1"/>
  <cols>
    <col min="1" max="1" width="28.15234375" customWidth="1"/>
    <col min="2" max="2" width="14.4609375" customWidth="1"/>
    <col min="3" max="3" width="8.4609375" customWidth="1"/>
  </cols>
  <sheetData>
    <row r="1" spans="1:22" ht="15.45">
      <c r="A1" s="6"/>
      <c r="B1" s="7" t="s">
        <v>0</v>
      </c>
      <c r="C1" s="7"/>
      <c r="D1" s="8"/>
      <c r="E1" s="8"/>
      <c r="F1" s="6" t="s">
        <v>17</v>
      </c>
      <c r="G1" s="7" t="s">
        <v>36</v>
      </c>
      <c r="H1" s="7" t="s">
        <v>37</v>
      </c>
      <c r="I1" s="7"/>
      <c r="J1" s="9"/>
      <c r="K1" s="9"/>
      <c r="M1" s="8"/>
      <c r="N1" s="8"/>
      <c r="O1" s="8"/>
      <c r="P1" s="8"/>
      <c r="Q1" s="8"/>
      <c r="R1" s="8"/>
      <c r="S1" s="8"/>
      <c r="T1" s="8"/>
      <c r="U1" s="8"/>
      <c r="V1" s="8"/>
    </row>
    <row r="2" spans="1:22" ht="15.45">
      <c r="A2" s="10" t="s">
        <v>18</v>
      </c>
      <c r="B2" s="11">
        <f>IF(OperationsEuros!$B$2="Euronext (Paris, Bruxelles, Amstedam)",SUM(C7:C11),C13)</f>
        <v>5</v>
      </c>
      <c r="C2" s="12" t="e">
        <f>B2/#REF!</f>
        <v>#REF!</v>
      </c>
      <c r="F2" s="10" t="s">
        <v>18</v>
      </c>
      <c r="G2" s="13">
        <f>H2/TauxChange!$B$1</f>
        <v>6.6115702479338845</v>
      </c>
      <c r="H2" s="27">
        <f>H6</f>
        <v>8</v>
      </c>
      <c r="I2" s="12">
        <f t="shared" ref="I2:I4" si="0">G2/$G$4</f>
        <v>0.24242424242424337</v>
      </c>
      <c r="J2" s="14"/>
      <c r="K2" s="14"/>
    </row>
    <row r="3" spans="1:22" ht="15.45">
      <c r="F3" s="15" t="s">
        <v>19</v>
      </c>
      <c r="G3" s="16">
        <f>K3-K4</f>
        <v>20.661157024793283</v>
      </c>
      <c r="H3" s="17"/>
      <c r="I3" s="17">
        <f t="shared" si="0"/>
        <v>0.75757575757575668</v>
      </c>
      <c r="J3" s="14">
        <f>TauxChange!$B$1/(1+0.5/100)</f>
        <v>1.2039800995024876</v>
      </c>
      <c r="K3" s="18">
        <f>OperationsUSD!B4/J3</f>
        <v>4152.8925619834708</v>
      </c>
    </row>
    <row r="4" spans="1:22" ht="15.45">
      <c r="F4" s="15" t="s">
        <v>20</v>
      </c>
      <c r="G4" s="16">
        <f>G2+G3</f>
        <v>27.272727272727167</v>
      </c>
      <c r="H4" s="14"/>
      <c r="I4" s="14">
        <f t="shared" si="0"/>
        <v>1</v>
      </c>
      <c r="J4" s="19">
        <f>TauxChange!$B$1</f>
        <v>1.21</v>
      </c>
      <c r="K4" s="20">
        <f>OperationsUSD!B4/J4</f>
        <v>4132.2314049586776</v>
      </c>
    </row>
    <row r="5" spans="1:22" ht="15.75" customHeight="1">
      <c r="A5" s="21" t="s">
        <v>38</v>
      </c>
    </row>
    <row r="6" spans="1:22" ht="15.75" customHeight="1">
      <c r="A6" s="21" t="s">
        <v>21</v>
      </c>
      <c r="B6" s="21" t="s">
        <v>50</v>
      </c>
      <c r="C6" s="21" t="s">
        <v>51</v>
      </c>
      <c r="E6" s="21" t="s">
        <v>23</v>
      </c>
      <c r="H6" s="31">
        <f>IF(OperationsUSD!$B$2&lt;10,MAX(8,0.02*OperationsUSD!$B$2),MAX(OperationsUSD!B4*0.08/100,8))</f>
        <v>8</v>
      </c>
      <c r="I6">
        <f>IF(G6&gt;OperationsUSD!$B$4*1/100,OperationsUSD!$B$4*1/100,G6)</f>
        <v>0</v>
      </c>
    </row>
    <row r="7" spans="1:22" ht="15.75" customHeight="1">
      <c r="A7" s="21" t="s">
        <v>22</v>
      </c>
      <c r="B7">
        <f>IF(OperationsEuros!$B$3&lt;=1000,2.5,0)</f>
        <v>0</v>
      </c>
      <c r="C7">
        <f t="shared" ref="C7:C11" si="1">B7</f>
        <v>0</v>
      </c>
    </row>
    <row r="8" spans="1:22" ht="15.75" customHeight="1">
      <c r="A8" s="21" t="s">
        <v>52</v>
      </c>
      <c r="B8">
        <f>IF(OperationsEuros!$B$3&lt;=1000,0,IF(OperationsEuros!$B$3&lt;=5000,5,0))</f>
        <v>5</v>
      </c>
      <c r="C8">
        <f t="shared" si="1"/>
        <v>5</v>
      </c>
    </row>
    <row r="9" spans="1:22" ht="15.75" customHeight="1">
      <c r="A9" s="21" t="s">
        <v>53</v>
      </c>
      <c r="B9">
        <f>IF(OperationsEuros!$B$3&lt;=5000,0,IF(OperationsEuros!$B$3&lt;=7500,7.5,0))</f>
        <v>0</v>
      </c>
      <c r="C9">
        <f t="shared" si="1"/>
        <v>0</v>
      </c>
      <c r="H9" s="31">
        <f>OperationsUSD!B4*0.08/100</f>
        <v>4</v>
      </c>
    </row>
    <row r="10" spans="1:22" ht="15.75" customHeight="1">
      <c r="A10" s="21" t="s">
        <v>54</v>
      </c>
      <c r="B10">
        <f>IF(OperationsEuros!$B$3&lt;=7500,0,IF(OperationsEuros!$B$3&lt;=10000,10,0))</f>
        <v>0</v>
      </c>
      <c r="C10">
        <f t="shared" si="1"/>
        <v>0</v>
      </c>
    </row>
    <row r="11" spans="1:22" ht="15.75" customHeight="1">
      <c r="A11" s="21" t="s">
        <v>55</v>
      </c>
      <c r="B11">
        <f>IF(OperationsEuros!$B$3&lt;=10000,0,OperationsEuros!$B$3*0.1/100)</f>
        <v>0</v>
      </c>
      <c r="C11">
        <f t="shared" si="1"/>
        <v>0</v>
      </c>
    </row>
    <row r="13" spans="1:22" ht="15.75" customHeight="1">
      <c r="A13" s="21" t="s">
        <v>40</v>
      </c>
      <c r="C13" s="21">
        <f>C17+C21+C25+C29+C33+C37+C41</f>
        <v>0</v>
      </c>
    </row>
    <row r="15" spans="1:22" ht="15.75" customHeight="1">
      <c r="A15" s="21" t="s">
        <v>25</v>
      </c>
    </row>
    <row r="16" spans="1:22" ht="15.75" customHeight="1">
      <c r="A16" s="21" t="s">
        <v>23</v>
      </c>
      <c r="B16" s="21" t="s">
        <v>26</v>
      </c>
      <c r="C16" s="21" t="s">
        <v>51</v>
      </c>
    </row>
    <row r="17" spans="1:3" ht="15.75" customHeight="1">
      <c r="A17">
        <f>IF(OperationsEuros!$B$2="Allemagne",OperationsEuros!$B$3*0.12/100,0)</f>
        <v>0</v>
      </c>
      <c r="B17">
        <f>IF(OperationsEuros!$B$2&lt;&gt;"Allemagne",0,IF(A17&lt;12,12,A17))</f>
        <v>0</v>
      </c>
      <c r="C17">
        <f>B17</f>
        <v>0</v>
      </c>
    </row>
    <row r="19" spans="1:3" ht="15.75" customHeight="1">
      <c r="A19" s="21" t="s">
        <v>28</v>
      </c>
    </row>
    <row r="20" spans="1:3" ht="15.75" customHeight="1">
      <c r="A20" s="21" t="s">
        <v>23</v>
      </c>
      <c r="B20" s="21" t="s">
        <v>26</v>
      </c>
      <c r="C20" s="21" t="s">
        <v>51</v>
      </c>
    </row>
    <row r="21" spans="1:3" ht="15.75" customHeight="1">
      <c r="A21">
        <f>IF(OperationsEuros!$B$2="Espagne",OperationsEuros!$B$3*0.12/100,0)</f>
        <v>0</v>
      </c>
      <c r="B21">
        <f>IF(OperationsEuros!$B$2&lt;&gt;"Espagne",0,IF(A21&lt;12,12,A21))</f>
        <v>0</v>
      </c>
      <c r="C21">
        <f>B21</f>
        <v>0</v>
      </c>
    </row>
    <row r="23" spans="1:3" ht="15.75" customHeight="1">
      <c r="A23" s="21" t="s">
        <v>29</v>
      </c>
    </row>
    <row r="24" spans="1:3" ht="15.75" customHeight="1">
      <c r="A24" s="21" t="s">
        <v>23</v>
      </c>
      <c r="B24" s="21" t="s">
        <v>26</v>
      </c>
      <c r="C24" s="21" t="s">
        <v>51</v>
      </c>
    </row>
    <row r="25" spans="1:3" ht="15.75" customHeight="1">
      <c r="A25">
        <f>IF(OperationsEuros!$B$2="Suisse",OperationsEuros!$B$3*0.2/100,0)</f>
        <v>0</v>
      </c>
      <c r="B25">
        <f>IF(OperationsEuros!$B$2&lt;&gt;"Suisse",0,IF(A25&lt;18,18,A25))</f>
        <v>0</v>
      </c>
      <c r="C25">
        <f>B25</f>
        <v>0</v>
      </c>
    </row>
    <row r="27" spans="1:3" ht="12.45">
      <c r="A27" s="21" t="s">
        <v>30</v>
      </c>
    </row>
    <row r="28" spans="1:3" ht="12.45">
      <c r="A28" s="21" t="s">
        <v>23</v>
      </c>
      <c r="B28" s="21" t="s">
        <v>26</v>
      </c>
      <c r="C28" s="21" t="s">
        <v>51</v>
      </c>
    </row>
    <row r="29" spans="1:3" ht="12.45">
      <c r="A29">
        <f>IF(OperationsEuros!$B$2="Portugal",SUM(B7:B11),0)</f>
        <v>0</v>
      </c>
      <c r="B29">
        <f t="shared" ref="B29:C29" si="2">A29</f>
        <v>0</v>
      </c>
      <c r="C29">
        <f t="shared" si="2"/>
        <v>0</v>
      </c>
    </row>
    <row r="31" spans="1:3" ht="12.45">
      <c r="A31" s="21" t="s">
        <v>31</v>
      </c>
    </row>
    <row r="32" spans="1:3" ht="12.45">
      <c r="A32" s="21" t="s">
        <v>23</v>
      </c>
      <c r="B32" s="21" t="s">
        <v>26</v>
      </c>
      <c r="C32" s="21" t="s">
        <v>51</v>
      </c>
    </row>
    <row r="33" spans="1:3" ht="12.45">
      <c r="A33">
        <f>IF(OperationsEuros!$B$2="Italie",OperationsEuros!$B$3*0.12/100,0)</f>
        <v>0</v>
      </c>
      <c r="B33">
        <f>IF(OperationsEuros!$B$2&lt;&gt;"Italie",0,IF(A33&lt;12,12,A33))</f>
        <v>0</v>
      </c>
      <c r="C33">
        <f>B33</f>
        <v>0</v>
      </c>
    </row>
    <row r="35" spans="1:3" ht="12.45">
      <c r="A35" s="21" t="s">
        <v>32</v>
      </c>
    </row>
    <row r="36" spans="1:3" ht="12.45">
      <c r="A36" s="21" t="s">
        <v>23</v>
      </c>
      <c r="B36" s="21" t="s">
        <v>26</v>
      </c>
      <c r="C36" s="21" t="s">
        <v>51</v>
      </c>
    </row>
    <row r="37" spans="1:3" ht="12.45">
      <c r="A37">
        <f>IF(OperationsEuros!$B$2="Irlande",OperationsEuros!$B$3*0.12/100,0)</f>
        <v>0</v>
      </c>
      <c r="B37">
        <f>IF(OperationsEuros!$B$2&lt;&gt;"Irlande",0,IF(A37&lt;12,12,A37))</f>
        <v>0</v>
      </c>
      <c r="C37">
        <f>B37</f>
        <v>0</v>
      </c>
    </row>
    <row r="39" spans="1:3" ht="12.45">
      <c r="A39" s="21" t="s">
        <v>33</v>
      </c>
    </row>
    <row r="40" spans="1:3" ht="12.45">
      <c r="A40" s="21" t="s">
        <v>23</v>
      </c>
      <c r="B40" s="21" t="s">
        <v>26</v>
      </c>
      <c r="C40" s="21" t="s">
        <v>51</v>
      </c>
    </row>
    <row r="41" spans="1:3" ht="12.45">
      <c r="A41">
        <f>IF(OperationsEuros!$B$2="Autriche",OperationsEuros!$B$3*0.12/100,0)</f>
        <v>0</v>
      </c>
      <c r="B41">
        <f>IF(OperationsEuros!$B$2&lt;&gt;"Autriche",0,IF(A41&lt;12,12,A41))</f>
        <v>0</v>
      </c>
      <c r="C41">
        <f>B41</f>
        <v>0</v>
      </c>
    </row>
  </sheetData>
  <pageMargins left="0.7" right="0.7" top="0.75" bottom="0.75" header="0.3" footer="0.3"/>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outlinePr summaryBelow="0" summaryRight="0"/>
  </sheetPr>
  <dimension ref="A1:J27"/>
  <sheetViews>
    <sheetView topLeftCell="A4" workbookViewId="0">
      <selection activeCell="H13" sqref="H13"/>
    </sheetView>
  </sheetViews>
  <sheetFormatPr baseColWidth="10" defaultColWidth="14.4609375" defaultRowHeight="15.75" customHeight="1"/>
  <sheetData>
    <row r="1" spans="1:10" ht="19.3" customHeight="1">
      <c r="A1" s="97" t="s">
        <v>56</v>
      </c>
      <c r="B1" s="98"/>
      <c r="C1" s="98"/>
      <c r="D1" s="98"/>
      <c r="E1" s="98"/>
      <c r="F1" s="98"/>
      <c r="G1" s="98"/>
    </row>
    <row r="2" spans="1:10" ht="15.75" customHeight="1">
      <c r="A2" s="32"/>
      <c r="B2" s="24"/>
      <c r="C2" s="24"/>
      <c r="D2" s="24"/>
      <c r="E2" s="24"/>
      <c r="F2" s="24"/>
      <c r="G2" s="24"/>
    </row>
    <row r="3" spans="1:10" ht="15.45">
      <c r="A3" s="33" t="s">
        <v>57</v>
      </c>
      <c r="B3" s="34"/>
      <c r="C3" s="24"/>
      <c r="D3" s="99">
        <v>44197</v>
      </c>
      <c r="E3" s="98"/>
      <c r="F3" s="24"/>
      <c r="G3" s="24"/>
    </row>
    <row r="4" spans="1:10" ht="15.75" customHeight="1">
      <c r="A4" s="24"/>
      <c r="B4" s="24"/>
      <c r="C4" s="24"/>
      <c r="D4" s="24"/>
      <c r="E4" s="24"/>
      <c r="F4" s="24"/>
      <c r="G4" s="24"/>
    </row>
    <row r="5" spans="1:10" ht="15.75" customHeight="1">
      <c r="A5" s="35" t="s">
        <v>58</v>
      </c>
      <c r="B5" s="33"/>
      <c r="C5" s="33"/>
      <c r="D5" s="24"/>
      <c r="E5" s="24"/>
      <c r="F5" s="24"/>
      <c r="G5" s="24"/>
    </row>
    <row r="6" spans="1:10" ht="15.75" customHeight="1">
      <c r="A6" s="33" t="s">
        <v>59</v>
      </c>
      <c r="B6" s="33"/>
      <c r="C6" s="33"/>
      <c r="D6" s="33"/>
      <c r="E6" s="33"/>
      <c r="F6" s="33"/>
      <c r="G6" s="33"/>
      <c r="H6" s="33"/>
      <c r="I6" s="33"/>
      <c r="J6" s="33"/>
    </row>
    <row r="7" spans="1:10" ht="15.75" customHeight="1">
      <c r="A7" s="33" t="s">
        <v>60</v>
      </c>
      <c r="B7" s="33"/>
      <c r="C7" s="33"/>
      <c r="D7" s="33"/>
      <c r="E7" s="33"/>
      <c r="F7" s="33"/>
      <c r="G7" s="33"/>
      <c r="H7" s="33"/>
      <c r="I7" s="33"/>
      <c r="J7" s="33"/>
    </row>
    <row r="8" spans="1:10" ht="15.75" customHeight="1">
      <c r="A8" s="33" t="s">
        <v>61</v>
      </c>
      <c r="B8" s="33"/>
      <c r="C8" s="33"/>
      <c r="D8" s="33"/>
      <c r="E8" s="33"/>
      <c r="F8" s="33"/>
      <c r="G8" s="33"/>
      <c r="H8" s="33"/>
      <c r="I8" s="33"/>
      <c r="J8" s="33"/>
    </row>
    <row r="9" spans="1:10" ht="15.75" customHeight="1">
      <c r="A9" s="36" t="s">
        <v>62</v>
      </c>
      <c r="B9" s="33"/>
      <c r="C9" s="33"/>
      <c r="D9" s="33"/>
      <c r="E9" s="33"/>
      <c r="F9" s="33"/>
      <c r="G9" s="33"/>
      <c r="H9" s="33"/>
      <c r="I9" s="33"/>
      <c r="J9" s="33"/>
    </row>
    <row r="10" spans="1:10" ht="15.75" customHeight="1">
      <c r="A10" s="36" t="s">
        <v>63</v>
      </c>
      <c r="B10" s="33"/>
      <c r="C10" s="33"/>
      <c r="D10" s="33"/>
      <c r="E10" s="33"/>
      <c r="F10" s="33"/>
      <c r="G10" s="33"/>
      <c r="H10" s="33"/>
      <c r="I10" s="33"/>
      <c r="J10" s="33"/>
    </row>
    <row r="11" spans="1:10" ht="15.75" customHeight="1">
      <c r="A11" s="36" t="s">
        <v>64</v>
      </c>
      <c r="B11" s="33"/>
      <c r="C11" s="33"/>
      <c r="D11" s="33"/>
      <c r="E11" s="33"/>
      <c r="F11" s="33"/>
      <c r="G11" s="33"/>
      <c r="H11" s="33"/>
      <c r="I11" s="33"/>
      <c r="J11" s="33"/>
    </row>
    <row r="12" spans="1:10" ht="15.75" customHeight="1">
      <c r="A12" s="33" t="s">
        <v>65</v>
      </c>
      <c r="B12" s="33"/>
      <c r="C12" s="33"/>
      <c r="D12" s="33"/>
      <c r="E12" s="33"/>
      <c r="F12" s="33"/>
      <c r="G12" s="33"/>
      <c r="H12" s="33"/>
      <c r="I12" s="33"/>
      <c r="J12" s="33"/>
    </row>
    <row r="13" spans="1:10" ht="15.75" customHeight="1">
      <c r="A13" s="93" t="s">
        <v>106</v>
      </c>
      <c r="D13" s="33"/>
      <c r="E13" s="33"/>
      <c r="F13" s="33"/>
      <c r="G13" s="33"/>
      <c r="H13" s="33"/>
      <c r="I13" s="33"/>
      <c r="J13" s="33"/>
    </row>
    <row r="14" spans="1:10" s="91" customFormat="1" ht="15.75" customHeight="1">
      <c r="A14" s="93"/>
      <c r="D14" s="33"/>
      <c r="E14" s="33"/>
      <c r="F14" s="33"/>
      <c r="G14" s="33"/>
      <c r="H14" s="33"/>
      <c r="I14" s="33"/>
      <c r="J14" s="33"/>
    </row>
    <row r="15" spans="1:10" ht="15.75" customHeight="1">
      <c r="A15" s="82" t="s">
        <v>101</v>
      </c>
      <c r="D15" s="33"/>
      <c r="E15" s="33"/>
      <c r="F15" s="33"/>
      <c r="G15" s="33"/>
      <c r="H15" s="33"/>
      <c r="I15" s="33"/>
      <c r="J15" s="33"/>
    </row>
    <row r="16" spans="1:10" ht="15.75" customHeight="1">
      <c r="A16" s="36" t="s">
        <v>66</v>
      </c>
    </row>
    <row r="17" spans="1:1" ht="15.75" customHeight="1">
      <c r="A17" s="36" t="s">
        <v>67</v>
      </c>
    </row>
    <row r="18" spans="1:1" ht="15.75" customHeight="1">
      <c r="A18" s="36" t="s">
        <v>68</v>
      </c>
    </row>
    <row r="19" spans="1:1" ht="15.75" customHeight="1">
      <c r="A19" s="33" t="s">
        <v>69</v>
      </c>
    </row>
    <row r="20" spans="1:1" ht="15.75" customHeight="1">
      <c r="A20" s="33" t="s">
        <v>70</v>
      </c>
    </row>
    <row r="21" spans="1:1" ht="15.75" customHeight="1">
      <c r="A21" s="37"/>
    </row>
    <row r="22" spans="1:1" ht="15.75" customHeight="1">
      <c r="A22" s="82" t="s">
        <v>102</v>
      </c>
    </row>
    <row r="23" spans="1:1" ht="15.75" customHeight="1">
      <c r="A23" s="36" t="s">
        <v>71</v>
      </c>
    </row>
    <row r="24" spans="1:1" ht="15.75" customHeight="1">
      <c r="A24" s="36" t="s">
        <v>72</v>
      </c>
    </row>
    <row r="25" spans="1:1" ht="15.75" customHeight="1">
      <c r="A25" s="90" t="s">
        <v>103</v>
      </c>
    </row>
    <row r="26" spans="1:1" ht="15.75" customHeight="1">
      <c r="A26" s="90" t="s">
        <v>104</v>
      </c>
    </row>
    <row r="27" spans="1:1" ht="15.75" customHeight="1">
      <c r="A27" s="36"/>
    </row>
  </sheetData>
  <mergeCells count="2">
    <mergeCell ref="A1:G1"/>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Trading212</vt:lpstr>
      <vt:lpstr>OperationsEuros</vt:lpstr>
      <vt:lpstr>BoursoClassic</vt:lpstr>
      <vt:lpstr>BoursoDecouverte</vt:lpstr>
      <vt:lpstr>Lynx</vt:lpstr>
      <vt:lpstr>OperationsUSD</vt:lpstr>
      <vt:lpstr>DeGiro</vt:lpstr>
      <vt:lpstr>SaxoBanque</vt:lpstr>
      <vt:lpstr>ASavoir</vt:lpstr>
      <vt:lpstr>Places</vt:lpstr>
      <vt:lpstr>BourseDirect</vt:lpstr>
      <vt:lpstr>IB</vt:lpstr>
      <vt:lpstr>FortuneoZeroCourtage</vt:lpstr>
      <vt:lpstr>FortuneoOptimum</vt:lpstr>
      <vt:lpstr>Feuille 7</vt:lpstr>
      <vt:lpstr>TauxChange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Jouffroy Bertrand</dc:creator>
  <cp:lastModifiedBy>Jouffroy Bertrand</cp:lastModifiedBy>
  <dcterms:created xsi:type="dcterms:W3CDTF">2020-12-25T18:11:22Z</dcterms:created>
  <dcterms:modified xsi:type="dcterms:W3CDTF">2021-03-29T13:43:33Z</dcterms:modified>
</cp:coreProperties>
</file>