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ff\Downloads\"/>
    </mc:Choice>
  </mc:AlternateContent>
  <xr:revisionPtr revIDLastSave="0" documentId="13_ncr:1_{2741FE52-0B34-4168-B829-8A5D5B1F2C0F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DividendAristocratsUS" sheetId="1" r:id="rId1"/>
    <sheet name="Rdt" sheetId="2" state="hidden" r:id="rId2"/>
    <sheet name="A Savoir" sheetId="3" r:id="rId3"/>
    <sheet name="Data" sheetId="4" state="hidden" r:id="rId4"/>
  </sheets>
  <calcPr calcId="191029"/>
</workbook>
</file>

<file path=xl/calcChain.xml><?xml version="1.0" encoding="utf-8"?>
<calcChain xmlns="http://schemas.openxmlformats.org/spreadsheetml/2006/main">
  <c r="E66" i="4" l="1"/>
  <c r="D66" i="4"/>
  <c r="C66" i="4"/>
  <c r="F66" i="4" s="1"/>
  <c r="E65" i="4"/>
  <c r="D65" i="4"/>
  <c r="C65" i="4"/>
  <c r="E64" i="4"/>
  <c r="D64" i="4"/>
  <c r="C64" i="4"/>
  <c r="E63" i="4"/>
  <c r="D63" i="4"/>
  <c r="C63" i="4"/>
  <c r="E62" i="4"/>
  <c r="D62" i="4"/>
  <c r="C62" i="4"/>
  <c r="F62" i="4" s="1"/>
  <c r="E61" i="4"/>
  <c r="D61" i="4"/>
  <c r="C61" i="4"/>
  <c r="E60" i="4"/>
  <c r="F60" i="4" s="1"/>
  <c r="D60" i="4"/>
  <c r="E59" i="4"/>
  <c r="D59" i="4"/>
  <c r="C59" i="4"/>
  <c r="F59" i="4" s="1"/>
  <c r="E58" i="4"/>
  <c r="D58" i="4"/>
  <c r="C58" i="4"/>
  <c r="E57" i="4"/>
  <c r="D57" i="4"/>
  <c r="C57" i="4"/>
  <c r="E56" i="4"/>
  <c r="D56" i="4"/>
  <c r="C56" i="4"/>
  <c r="E55" i="4"/>
  <c r="F55" i="4" s="1"/>
  <c r="D55" i="4"/>
  <c r="E54" i="4"/>
  <c r="D54" i="4"/>
  <c r="C54" i="4"/>
  <c r="E53" i="4"/>
  <c r="D53" i="4"/>
  <c r="C53" i="4"/>
  <c r="E52" i="4"/>
  <c r="D52" i="4"/>
  <c r="C52" i="4"/>
  <c r="F52" i="4" s="1"/>
  <c r="E51" i="4"/>
  <c r="D51" i="4"/>
  <c r="C51" i="4"/>
  <c r="E50" i="4"/>
  <c r="F50" i="4" s="1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F34" i="4" s="1"/>
  <c r="D34" i="4"/>
  <c r="C34" i="4"/>
  <c r="E33" i="4"/>
  <c r="D33" i="4"/>
  <c r="C33" i="4"/>
  <c r="E32" i="4"/>
  <c r="D32" i="4"/>
  <c r="C32" i="4"/>
  <c r="E31" i="4"/>
  <c r="D31" i="4"/>
  <c r="C31" i="4"/>
  <c r="E30" i="4"/>
  <c r="F30" i="4" s="1"/>
  <c r="D30" i="4"/>
  <c r="C30" i="4"/>
  <c r="E29" i="4"/>
  <c r="D29" i="4"/>
  <c r="C29" i="4"/>
  <c r="E28" i="4"/>
  <c r="D28" i="4"/>
  <c r="C28" i="4"/>
  <c r="F28" i="4" s="1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F18" i="4" s="1"/>
  <c r="D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F12" i="4" s="1"/>
  <c r="D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F3" i="4" s="1"/>
  <c r="D3" i="4"/>
  <c r="E2" i="4"/>
  <c r="D2" i="4"/>
  <c r="C2" i="4"/>
  <c r="A15" i="3"/>
  <c r="A13" i="3"/>
  <c r="A1" i="3"/>
  <c r="E69" i="2"/>
  <c r="E67" i="2"/>
  <c r="D67" i="2"/>
  <c r="C67" i="2"/>
  <c r="E66" i="2"/>
  <c r="D66" i="2"/>
  <c r="C66" i="2"/>
  <c r="E65" i="2"/>
  <c r="D65" i="2"/>
  <c r="E64" i="2"/>
  <c r="D64" i="2"/>
  <c r="C64" i="2"/>
  <c r="E63" i="2"/>
  <c r="D63" i="2"/>
  <c r="E62" i="2"/>
  <c r="D62" i="2"/>
  <c r="C62" i="2"/>
  <c r="E61" i="2"/>
  <c r="D61" i="2"/>
  <c r="C61" i="2"/>
  <c r="E60" i="2"/>
  <c r="D60" i="2"/>
  <c r="E59" i="2"/>
  <c r="D59" i="2"/>
  <c r="C59" i="2"/>
  <c r="E58" i="2"/>
  <c r="D58" i="2"/>
  <c r="E57" i="2"/>
  <c r="D57" i="2"/>
  <c r="E56" i="2"/>
  <c r="D56" i="2"/>
  <c r="C56" i="2"/>
  <c r="E55" i="2"/>
  <c r="D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E49" i="2"/>
  <c r="D49" i="2"/>
  <c r="E48" i="2"/>
  <c r="D48" i="2"/>
  <c r="C48" i="2"/>
  <c r="E47" i="2"/>
  <c r="D47" i="2"/>
  <c r="E46" i="2"/>
  <c r="D46" i="2"/>
  <c r="C46" i="2"/>
  <c r="E45" i="2"/>
  <c r="D45" i="2"/>
  <c r="C45" i="2"/>
  <c r="E44" i="2"/>
  <c r="D44" i="2"/>
  <c r="C44" i="2"/>
  <c r="E43" i="2"/>
  <c r="D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E34" i="2"/>
  <c r="D34" i="2"/>
  <c r="C34" i="2"/>
  <c r="E33" i="2"/>
  <c r="D33" i="2"/>
  <c r="C33" i="2"/>
  <c r="E32" i="2"/>
  <c r="D32" i="2"/>
  <c r="E31" i="2"/>
  <c r="D31" i="2"/>
  <c r="C31" i="2"/>
  <c r="E30" i="2"/>
  <c r="D30" i="2"/>
  <c r="C30" i="2"/>
  <c r="E29" i="2"/>
  <c r="D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E22" i="2"/>
  <c r="D22" i="2"/>
  <c r="C22" i="2"/>
  <c r="E21" i="2"/>
  <c r="D21" i="2"/>
  <c r="E20" i="2"/>
  <c r="D20" i="2"/>
  <c r="C20" i="2"/>
  <c r="E19" i="2"/>
  <c r="D19" i="2"/>
  <c r="C19" i="2"/>
  <c r="E18" i="2"/>
  <c r="D18" i="2"/>
  <c r="C18" i="2"/>
  <c r="E17" i="2"/>
  <c r="D17" i="2"/>
  <c r="E16" i="2"/>
  <c r="D16" i="2"/>
  <c r="E15" i="2"/>
  <c r="D15" i="2"/>
  <c r="C15" i="2"/>
  <c r="E14" i="2"/>
  <c r="D14" i="2"/>
  <c r="E13" i="2"/>
  <c r="D13" i="2"/>
  <c r="C13" i="2"/>
  <c r="E12" i="2"/>
  <c r="D12" i="2"/>
  <c r="C12" i="2"/>
  <c r="E11" i="2"/>
  <c r="D11" i="2"/>
  <c r="E10" i="2"/>
  <c r="D10" i="2"/>
  <c r="E9" i="2"/>
  <c r="D9" i="2"/>
  <c r="C9" i="2"/>
  <c r="E8" i="2"/>
  <c r="D8" i="2"/>
  <c r="C8" i="2"/>
  <c r="E7" i="2"/>
  <c r="D7" i="2"/>
  <c r="C7" i="2"/>
  <c r="E6" i="2"/>
  <c r="D6" i="2"/>
  <c r="E5" i="2"/>
  <c r="D5" i="2"/>
  <c r="E4" i="2"/>
  <c r="D4" i="2"/>
  <c r="C4" i="2"/>
  <c r="A2" i="2"/>
  <c r="B70" i="1"/>
  <c r="F70" i="1" s="1"/>
  <c r="A70" i="1"/>
  <c r="B69" i="1"/>
  <c r="F69" i="1" s="1"/>
  <c r="A69" i="1"/>
  <c r="B68" i="1"/>
  <c r="F68" i="1" s="1"/>
  <c r="A68" i="1"/>
  <c r="B67" i="1"/>
  <c r="F67" i="1" s="1"/>
  <c r="A67" i="1"/>
  <c r="B66" i="1"/>
  <c r="F66" i="1" s="1"/>
  <c r="A66" i="1"/>
  <c r="B65" i="1"/>
  <c r="F65" i="1" s="1"/>
  <c r="A65" i="1"/>
  <c r="B64" i="1"/>
  <c r="F64" i="1" s="1"/>
  <c r="A64" i="1"/>
  <c r="B63" i="1"/>
  <c r="F63" i="1" s="1"/>
  <c r="A63" i="1"/>
  <c r="B62" i="1"/>
  <c r="F62" i="1" s="1"/>
  <c r="A62" i="1"/>
  <c r="B61" i="1"/>
  <c r="F61" i="1" s="1"/>
  <c r="A61" i="1"/>
  <c r="B60" i="1"/>
  <c r="F60" i="1" s="1"/>
  <c r="A60" i="1"/>
  <c r="B59" i="1"/>
  <c r="F59" i="1" s="1"/>
  <c r="A59" i="1"/>
  <c r="B58" i="1"/>
  <c r="F58" i="1" s="1"/>
  <c r="A58" i="1"/>
  <c r="B57" i="1"/>
  <c r="F57" i="1" s="1"/>
  <c r="A57" i="1"/>
  <c r="B56" i="1"/>
  <c r="F56" i="1" s="1"/>
  <c r="A56" i="1"/>
  <c r="B55" i="1"/>
  <c r="F55" i="1" s="1"/>
  <c r="A55" i="1"/>
  <c r="B54" i="1"/>
  <c r="F54" i="1" s="1"/>
  <c r="A54" i="1"/>
  <c r="B53" i="1"/>
  <c r="F53" i="1" s="1"/>
  <c r="A53" i="1"/>
  <c r="B52" i="1"/>
  <c r="F52" i="1" s="1"/>
  <c r="A52" i="1"/>
  <c r="B51" i="1"/>
  <c r="F51" i="1" s="1"/>
  <c r="A51" i="1"/>
  <c r="B50" i="1"/>
  <c r="F50" i="1" s="1"/>
  <c r="A50" i="1"/>
  <c r="B49" i="1"/>
  <c r="F49" i="1" s="1"/>
  <c r="A49" i="1"/>
  <c r="B48" i="1"/>
  <c r="F48" i="1" s="1"/>
  <c r="A48" i="1"/>
  <c r="B47" i="1"/>
  <c r="F47" i="1" s="1"/>
  <c r="A47" i="1"/>
  <c r="B46" i="1"/>
  <c r="F46" i="1" s="1"/>
  <c r="A46" i="1"/>
  <c r="B45" i="1"/>
  <c r="F45" i="1" s="1"/>
  <c r="A45" i="1"/>
  <c r="B44" i="1"/>
  <c r="F44" i="1" s="1"/>
  <c r="A44" i="1"/>
  <c r="B43" i="1"/>
  <c r="F43" i="1" s="1"/>
  <c r="A43" i="1"/>
  <c r="B42" i="1"/>
  <c r="F42" i="1" s="1"/>
  <c r="A42" i="1"/>
  <c r="B41" i="1"/>
  <c r="F41" i="1" s="1"/>
  <c r="A41" i="1"/>
  <c r="B40" i="1"/>
  <c r="F40" i="1" s="1"/>
  <c r="A40" i="1"/>
  <c r="B39" i="1"/>
  <c r="F39" i="1" s="1"/>
  <c r="A39" i="1"/>
  <c r="B38" i="1"/>
  <c r="F38" i="1" s="1"/>
  <c r="A38" i="1"/>
  <c r="B37" i="1"/>
  <c r="F37" i="1" s="1"/>
  <c r="A37" i="1"/>
  <c r="B36" i="1"/>
  <c r="F36" i="1" s="1"/>
  <c r="A36" i="1"/>
  <c r="B35" i="1"/>
  <c r="F35" i="1" s="1"/>
  <c r="A35" i="1"/>
  <c r="B34" i="1"/>
  <c r="F34" i="1" s="1"/>
  <c r="A34" i="1"/>
  <c r="B33" i="1"/>
  <c r="F33" i="1" s="1"/>
  <c r="A33" i="1"/>
  <c r="B32" i="1"/>
  <c r="F32" i="1" s="1"/>
  <c r="A32" i="1"/>
  <c r="B31" i="1"/>
  <c r="F31" i="1" s="1"/>
  <c r="A31" i="1"/>
  <c r="B30" i="1"/>
  <c r="F30" i="1" s="1"/>
  <c r="A30" i="1"/>
  <c r="B29" i="1"/>
  <c r="F29" i="1" s="1"/>
  <c r="A29" i="1"/>
  <c r="B28" i="1"/>
  <c r="F28" i="1" s="1"/>
  <c r="A28" i="1"/>
  <c r="B27" i="1"/>
  <c r="F27" i="1" s="1"/>
  <c r="A27" i="1"/>
  <c r="B26" i="1"/>
  <c r="F26" i="1" s="1"/>
  <c r="A26" i="1"/>
  <c r="B25" i="1"/>
  <c r="F25" i="1" s="1"/>
  <c r="A25" i="1"/>
  <c r="B24" i="1"/>
  <c r="F24" i="1" s="1"/>
  <c r="A24" i="1"/>
  <c r="B23" i="1"/>
  <c r="F23" i="1" s="1"/>
  <c r="A23" i="1"/>
  <c r="B22" i="1"/>
  <c r="F22" i="1" s="1"/>
  <c r="A22" i="1"/>
  <c r="B21" i="1"/>
  <c r="F21" i="1" s="1"/>
  <c r="A21" i="1"/>
  <c r="B20" i="1"/>
  <c r="F20" i="1" s="1"/>
  <c r="A20" i="1"/>
  <c r="B19" i="1"/>
  <c r="F19" i="1" s="1"/>
  <c r="A19" i="1"/>
  <c r="B18" i="1"/>
  <c r="F18" i="1" s="1"/>
  <c r="A18" i="1"/>
  <c r="B17" i="1"/>
  <c r="F17" i="1" s="1"/>
  <c r="A17" i="1"/>
  <c r="B16" i="1"/>
  <c r="F16" i="1" s="1"/>
  <c r="A16" i="1"/>
  <c r="B15" i="1"/>
  <c r="F15" i="1" s="1"/>
  <c r="A15" i="1"/>
  <c r="B14" i="1"/>
  <c r="F14" i="1" s="1"/>
  <c r="A14" i="1"/>
  <c r="B13" i="1"/>
  <c r="F13" i="1" s="1"/>
  <c r="A13" i="1"/>
  <c r="B12" i="1"/>
  <c r="F12" i="1" s="1"/>
  <c r="A12" i="1"/>
  <c r="B11" i="1"/>
  <c r="F11" i="1" s="1"/>
  <c r="A11" i="1"/>
  <c r="B10" i="1"/>
  <c r="F10" i="1" s="1"/>
  <c r="A10" i="1"/>
  <c r="B9" i="1"/>
  <c r="F9" i="1" s="1"/>
  <c r="A9" i="1"/>
  <c r="B8" i="1"/>
  <c r="F8" i="1" s="1"/>
  <c r="A8" i="1"/>
  <c r="B7" i="1"/>
  <c r="F7" i="1" s="1"/>
  <c r="A7" i="1"/>
  <c r="B6" i="1"/>
  <c r="F6" i="1" s="1"/>
  <c r="A6" i="1"/>
  <c r="A2" i="1"/>
  <c r="F23" i="4" l="1"/>
  <c r="F47" i="4"/>
  <c r="F9" i="4"/>
  <c r="F56" i="4"/>
  <c r="F22" i="4"/>
  <c r="F38" i="4"/>
  <c r="F46" i="4"/>
  <c r="F5" i="4"/>
  <c r="F33" i="4"/>
  <c r="F6" i="4"/>
  <c r="F15" i="4"/>
  <c r="F26" i="4"/>
  <c r="F42" i="4"/>
  <c r="F13" i="4"/>
  <c r="F31" i="4"/>
  <c r="F36" i="4"/>
  <c r="F48" i="4"/>
  <c r="F65" i="4"/>
  <c r="F24" i="4"/>
  <c r="F29" i="4"/>
  <c r="F39" i="4"/>
  <c r="F44" i="4"/>
  <c r="F49" i="4"/>
  <c r="F54" i="4"/>
  <c r="F8" i="4"/>
  <c r="F17" i="4"/>
  <c r="F40" i="4"/>
  <c r="F45" i="4"/>
  <c r="F14" i="4"/>
  <c r="F20" i="4"/>
  <c r="F32" i="4"/>
  <c r="F64" i="4"/>
  <c r="F4" i="4"/>
  <c r="F2" i="4"/>
  <c r="F7" i="4"/>
  <c r="F27" i="4"/>
  <c r="F43" i="4"/>
  <c r="F57" i="4"/>
  <c r="F10" i="4"/>
  <c r="F25" i="4"/>
  <c r="F41" i="4"/>
  <c r="F63" i="4"/>
  <c r="F21" i="4"/>
  <c r="F37" i="4"/>
  <c r="F53" i="4"/>
  <c r="F58" i="4"/>
  <c r="F61" i="4"/>
  <c r="F11" i="4"/>
  <c r="F16" i="4"/>
  <c r="F19" i="4"/>
  <c r="F35" i="4"/>
  <c r="F51" i="4"/>
</calcChain>
</file>

<file path=xl/sharedStrings.xml><?xml version="1.0" encoding="utf-8"?>
<sst xmlns="http://schemas.openxmlformats.org/spreadsheetml/2006/main" count="371" uniqueCount="354">
  <si>
    <t>Les "Dividend Aristocrats" Américains</t>
  </si>
  <si>
    <t>Mise à jour : Août 2021</t>
  </si>
  <si>
    <t>Action</t>
  </si>
  <si>
    <t>Ticker</t>
  </si>
  <si>
    <t>Montant dividende annuel (en $)</t>
  </si>
  <si>
    <t>Cours en temps réel</t>
  </si>
  <si>
    <t>Rendement brut annuel</t>
  </si>
  <si>
    <t>Lien Google Finance</t>
  </si>
  <si>
    <t>Rendement</t>
  </si>
  <si>
    <t>Cours</t>
  </si>
  <si>
    <t>3M CO</t>
  </si>
  <si>
    <t>NYSE:MMM</t>
  </si>
  <si>
    <t>A.O. SMITH CORPORATION</t>
  </si>
  <si>
    <t>NYSE:AOS</t>
  </si>
  <si>
    <t>2,11%</t>
  </si>
  <si>
    <t>ABBOTT LABORATORIES</t>
  </si>
  <si>
    <t>NYSE:ABT</t>
  </si>
  <si>
    <t>1,59%</t>
  </si>
  <si>
    <t>ABBVIE INC</t>
  </si>
  <si>
    <t>NYSE:ABBV</t>
  </si>
  <si>
    <t>AFLAC INC</t>
  </si>
  <si>
    <t>NYSE:AFL</t>
  </si>
  <si>
    <t>AIR PRODUCTS AND CHEMICALS</t>
  </si>
  <si>
    <t>NYSE:APD</t>
  </si>
  <si>
    <t>ALBEMARIE CORP.</t>
  </si>
  <si>
    <t>NYSE:ALB</t>
  </si>
  <si>
    <t>1,81%</t>
  </si>
  <si>
    <t>AMCOR Plc</t>
  </si>
  <si>
    <t>NYSE:AMCR</t>
  </si>
  <si>
    <t>4,39%</t>
  </si>
  <si>
    <t>ARCHER DANIELS MIDLAND CO</t>
  </si>
  <si>
    <t>NYSE:ADM</t>
  </si>
  <si>
    <t>AT&amp;T INC</t>
  </si>
  <si>
    <t>NYSE:T</t>
  </si>
  <si>
    <t>ATMOS ENERGY CORP.</t>
  </si>
  <si>
    <t>NYSE:ATO</t>
  </si>
  <si>
    <t>1,96%</t>
  </si>
  <si>
    <t>AUTOMATIC DATA PROCESSING</t>
  </si>
  <si>
    <t>NASDAQ:ADP</t>
  </si>
  <si>
    <t>BECTON DICKINSON AND CO</t>
  </si>
  <si>
    <t>NYSE:BDX</t>
  </si>
  <si>
    <t>1,14%</t>
  </si>
  <si>
    <t>BROWN-FORMAN CORP</t>
  </si>
  <si>
    <t>NYSE:BF.B</t>
  </si>
  <si>
    <t>0,97%</t>
  </si>
  <si>
    <t>CARDINAL HEALTH INC</t>
  </si>
  <si>
    <t>NYSE:CAH</t>
  </si>
  <si>
    <t>CATERPILLAR</t>
  </si>
  <si>
    <t>NYSE:CAT</t>
  </si>
  <si>
    <t>CHEVRON CORP</t>
  </si>
  <si>
    <t>NYSE:CVX</t>
  </si>
  <si>
    <t>CHUBB</t>
  </si>
  <si>
    <t>NYSE:CB</t>
  </si>
  <si>
    <t>1,97%</t>
  </si>
  <si>
    <t>CINCINNATI FINANCIAL CORP</t>
  </si>
  <si>
    <t>NASDAQ:CINF</t>
  </si>
  <si>
    <t>CINTAS CORP</t>
  </si>
  <si>
    <t>NASDAQ:CTAS</t>
  </si>
  <si>
    <t>0,9%</t>
  </si>
  <si>
    <t>CLOROX CO</t>
  </si>
  <si>
    <t>NYSE:CLX</t>
  </si>
  <si>
    <t>COCA-COLA CO/THE</t>
  </si>
  <si>
    <t>NYSE:KO</t>
  </si>
  <si>
    <t>COLGATE-PALMOLIVE CO</t>
  </si>
  <si>
    <t>NYSE:CL</t>
  </si>
  <si>
    <t>CONSOLIDATED EDISON INC</t>
  </si>
  <si>
    <t>NYSE:ED</t>
  </si>
  <si>
    <t>DOVER CORP</t>
  </si>
  <si>
    <t>NYSE:DOV</t>
  </si>
  <si>
    <t>ECOLAB INC</t>
  </si>
  <si>
    <t>NYSE:ECL</t>
  </si>
  <si>
    <t>0,95%</t>
  </si>
  <si>
    <t>EMERSON ELECTRIC CO</t>
  </si>
  <si>
    <t>NYSE:EMR</t>
  </si>
  <si>
    <t>ESSEX PROPERTY TRUST</t>
  </si>
  <si>
    <t>NYSE:ESS</t>
  </si>
  <si>
    <t>EXPEDITORS INTERNATIONAL</t>
  </si>
  <si>
    <t>NASDAQ:EXPD</t>
  </si>
  <si>
    <t>1,35%</t>
  </si>
  <si>
    <t>EXXON MOBIL CORP</t>
  </si>
  <si>
    <t>NYSE:XOM</t>
  </si>
  <si>
    <t>FEDERAL REALTY INV. TRUST</t>
  </si>
  <si>
    <t>NYSE:FRT</t>
  </si>
  <si>
    <t>FRANKLIN RESOURCES INC</t>
  </si>
  <si>
    <t>NYSE:BEN</t>
  </si>
  <si>
    <t>4,28%</t>
  </si>
  <si>
    <t>GENERAL DYNAMICS</t>
  </si>
  <si>
    <t>NYSE:GD</t>
  </si>
  <si>
    <t>GENUINE PARTS CO</t>
  </si>
  <si>
    <t>NYSE:GPC</t>
  </si>
  <si>
    <t>HORMEL FOODS CORP</t>
  </si>
  <si>
    <t>NYSE:HRL</t>
  </si>
  <si>
    <t>ILLINOIS TOOL WORKS INC</t>
  </si>
  <si>
    <t>NYSE:ITW</t>
  </si>
  <si>
    <t>JOHNSON &amp; JOHNSON</t>
  </si>
  <si>
    <t>NYSE:JNJ</t>
  </si>
  <si>
    <t>KIMBERLY-CLARK CORP</t>
  </si>
  <si>
    <t>NYSE:KMB</t>
  </si>
  <si>
    <t>LEGGETT &amp; PLATT INC</t>
  </si>
  <si>
    <t>NYSE:LEG</t>
  </si>
  <si>
    <t>LINDE PLC</t>
  </si>
  <si>
    <t>NYSE:LIN</t>
  </si>
  <si>
    <t>1,67%</t>
  </si>
  <si>
    <t>LOWE'S COS INC</t>
  </si>
  <si>
    <t>NYSE:LOW</t>
  </si>
  <si>
    <t>MCCORMICK &amp; CO INC</t>
  </si>
  <si>
    <t>NYSE:MKC</t>
  </si>
  <si>
    <t>MCDONALD'S CORP</t>
  </si>
  <si>
    <t>NYSE:MCD</t>
  </si>
  <si>
    <t>MEDTRONIC INC</t>
  </si>
  <si>
    <t>NYSE:MDT</t>
  </si>
  <si>
    <t>NUCOR CORP</t>
  </si>
  <si>
    <t>NYSE:NUE</t>
  </si>
  <si>
    <t>PENTAIR PLC</t>
  </si>
  <si>
    <t>NYSE:PNR</t>
  </si>
  <si>
    <t>1,65%</t>
  </si>
  <si>
    <t>PEOPLE'S UNITED FINANCIAL</t>
  </si>
  <si>
    <t>NASDAQ:PBCT</t>
  </si>
  <si>
    <t>4,48%</t>
  </si>
  <si>
    <t>PEPSICO INC</t>
  </si>
  <si>
    <t>NASDAQ:PEP</t>
  </si>
  <si>
    <t>PPG INDUSTRIES INC</t>
  </si>
  <si>
    <t>NYSE:PPG</t>
  </si>
  <si>
    <t>PROCTER &amp; GAMBLE CO</t>
  </si>
  <si>
    <t>NYSE:PG</t>
  </si>
  <si>
    <t>REALTY INCOME</t>
  </si>
  <si>
    <t>NYSE:O</t>
  </si>
  <si>
    <t>ROPER TECHNOLOGIES</t>
  </si>
  <si>
    <t>NYSE:ROP</t>
  </si>
  <si>
    <t>0,54%</t>
  </si>
  <si>
    <t>ROSS STORES</t>
  </si>
  <si>
    <t>NASDAQ:ROST</t>
  </si>
  <si>
    <t>S&amp;P GLOBAL</t>
  </si>
  <si>
    <t>NYSE:SPGI</t>
  </si>
  <si>
    <t>0,77%</t>
  </si>
  <si>
    <t>SHERWIN-WILLIAMS CO</t>
  </si>
  <si>
    <t>NYSE:SHW</t>
  </si>
  <si>
    <t>0,76%</t>
  </si>
  <si>
    <t>STANLEY BLACK &amp; DECKER INC</t>
  </si>
  <si>
    <t>NYSE:SWK</t>
  </si>
  <si>
    <t>SYSCO CORP</t>
  </si>
  <si>
    <t>NYSE:SYY</t>
  </si>
  <si>
    <t>2,18%</t>
  </si>
  <si>
    <t>T. ROWE PRICE GROUP INC</t>
  </si>
  <si>
    <t>NASDAQ:TROW</t>
  </si>
  <si>
    <t>TARGET CORP</t>
  </si>
  <si>
    <t>NYSE:TGT</t>
  </si>
  <si>
    <t>UNITED TECHNOLOGIES</t>
  </si>
  <si>
    <t>NYSE:UTX</t>
  </si>
  <si>
    <t>1,92%</t>
  </si>
  <si>
    <t>VF CORP</t>
  </si>
  <si>
    <t>NYSE:VFC</t>
  </si>
  <si>
    <t>W W GRAINGER INC</t>
  </si>
  <si>
    <t>NYSE:GWW</t>
  </si>
  <si>
    <t>1,75%</t>
  </si>
  <si>
    <t>WAL-MART STORES INC</t>
  </si>
  <si>
    <t>NYSE:WMT</t>
  </si>
  <si>
    <t>WALGREENS BOOTS ALLIANCE</t>
  </si>
  <si>
    <t>NASDAQ:WBA</t>
  </si>
  <si>
    <t>Dernière mise à jour : Août 2021</t>
  </si>
  <si>
    <t>D'autres articles qui peuvent vous intéresser :</t>
  </si>
  <si>
    <t>Gagner en Bourse Grâce aux Dividendes</t>
  </si>
  <si>
    <t>Mes Portefeuilles Boursiers</t>
  </si>
  <si>
    <t>Nom</t>
  </si>
  <si>
    <t>Code</t>
  </si>
  <si>
    <t>Dividende</t>
  </si>
  <si>
    <t>Url Yahoo</t>
  </si>
  <si>
    <t>3M Co.</t>
  </si>
  <si>
    <t>MMM</t>
  </si>
  <si>
    <t>A.O. Smith Corp.</t>
  </si>
  <si>
    <t>AOS</t>
  </si>
  <si>
    <t>Abbott Laboratories</t>
  </si>
  <si>
    <t>ABT</t>
  </si>
  <si>
    <t>Abbvie Inc</t>
  </si>
  <si>
    <t>ABBV</t>
  </si>
  <si>
    <t>Aflac Inc.</t>
  </si>
  <si>
    <t>AFL</t>
  </si>
  <si>
    <t>Air Products &amp; Chemicals Inc.</t>
  </si>
  <si>
    <t>APD</t>
  </si>
  <si>
    <t>Archer Daniels Midland Co.</t>
  </si>
  <si>
    <t>ADM</t>
  </si>
  <si>
    <t>AT&amp;T, Inc.</t>
  </si>
  <si>
    <t>T</t>
  </si>
  <si>
    <t>Automatic Data Processing Inc.</t>
  </si>
  <si>
    <t>ADP</t>
  </si>
  <si>
    <t>Becton, Dickinson And Co.</t>
  </si>
  <si>
    <t>BDX</t>
  </si>
  <si>
    <t>Brown-Forman Corp.</t>
  </si>
  <si>
    <t>BF.B</t>
  </si>
  <si>
    <t>Cardinal Health, Inc.</t>
  </si>
  <si>
    <t>CAH</t>
  </si>
  <si>
    <t>Caterpillar Inc.</t>
  </si>
  <si>
    <t>CAT</t>
  </si>
  <si>
    <t>Chubb Limited</t>
  </si>
  <si>
    <t>CB</t>
  </si>
  <si>
    <t>Chevron Corp.</t>
  </si>
  <si>
    <t>CVX</t>
  </si>
  <si>
    <t>Cincinnati Financial Corp.</t>
  </si>
  <si>
    <t>CINF</t>
  </si>
  <si>
    <t>Cintas Corporation</t>
  </si>
  <si>
    <t>CTAS</t>
  </si>
  <si>
    <t>Clorox Co.</t>
  </si>
  <si>
    <t>CLX</t>
  </si>
  <si>
    <t>Coca-Cola Co</t>
  </si>
  <si>
    <t>KO</t>
  </si>
  <si>
    <t>Colgate-Palmolive Co.</t>
  </si>
  <si>
    <t>CL</t>
  </si>
  <si>
    <t>Consolidated Edison, Inc.</t>
  </si>
  <si>
    <t>ED</t>
  </si>
  <si>
    <t>Dover Corp.</t>
  </si>
  <si>
    <t>DOV</t>
  </si>
  <si>
    <t>Ecolab, Inc.</t>
  </si>
  <si>
    <t>ECL</t>
  </si>
  <si>
    <t>Emerson Electric Co.</t>
  </si>
  <si>
    <t>EMR</t>
  </si>
  <si>
    <t>Exxon Mobil Corp.</t>
  </si>
  <si>
    <t>XOM</t>
  </si>
  <si>
    <t>Federal Realty Investment Trust</t>
  </si>
  <si>
    <t>FRT</t>
  </si>
  <si>
    <t>Franklin Resources, Inc.</t>
  </si>
  <si>
    <t>BEN</t>
  </si>
  <si>
    <t>General Dynamics Corp.</t>
  </si>
  <si>
    <t>GD</t>
  </si>
  <si>
    <t>Genuine Parts Co.</t>
  </si>
  <si>
    <t>GPC</t>
  </si>
  <si>
    <t>Hormel Foods Corp.</t>
  </si>
  <si>
    <t>HRL</t>
  </si>
  <si>
    <t>Illinois Tool Works, Inc.</t>
  </si>
  <si>
    <t>ITW</t>
  </si>
  <si>
    <t>Johnson &amp; Johnson</t>
  </si>
  <si>
    <t>JNJ</t>
  </si>
  <si>
    <t>Kimberly-Clark Corp.</t>
  </si>
  <si>
    <t>KMB</t>
  </si>
  <si>
    <t>Leggett &amp; Platt, Inc.</t>
  </si>
  <si>
    <t>LEG</t>
  </si>
  <si>
    <t>Linde Plc</t>
  </si>
  <si>
    <t>LIN</t>
  </si>
  <si>
    <t>Lowe`s Cos., Inc.</t>
  </si>
  <si>
    <t>LOW</t>
  </si>
  <si>
    <t>McCormick &amp; Co., Inc.</t>
  </si>
  <si>
    <t>MKC</t>
  </si>
  <si>
    <t>McDonald`s Corp</t>
  </si>
  <si>
    <t>MCD</t>
  </si>
  <si>
    <t>Medtronic Plc</t>
  </si>
  <si>
    <t>MDT</t>
  </si>
  <si>
    <t>Nucor Corp.</t>
  </si>
  <si>
    <t>NUE</t>
  </si>
  <si>
    <t>People`s United Financial Inc</t>
  </si>
  <si>
    <t>PBCT</t>
  </si>
  <si>
    <t>Pentair plc</t>
  </si>
  <si>
    <t>PNR</t>
  </si>
  <si>
    <t>PepsiCo Inc</t>
  </si>
  <si>
    <t>PEP</t>
  </si>
  <si>
    <t>PPG Industries, Inc.</t>
  </si>
  <si>
    <t>PPG</t>
  </si>
  <si>
    <t>Procter &amp; Gamble Co.</t>
  </si>
  <si>
    <t>PG</t>
  </si>
  <si>
    <t>Roper Technologies Inc</t>
  </si>
  <si>
    <t>ROP</t>
  </si>
  <si>
    <t>S&amp;P Global Inc</t>
  </si>
  <si>
    <t>SPGI</t>
  </si>
  <si>
    <t>Sherwin-Williams Co.</t>
  </si>
  <si>
    <t>SHW</t>
  </si>
  <si>
    <t>Stanley Black &amp; Decker Inc</t>
  </si>
  <si>
    <t>SWK</t>
  </si>
  <si>
    <t>Sysco Corp.</t>
  </si>
  <si>
    <t>SYY</t>
  </si>
  <si>
    <t>T. Rowe Price Group Inc.</t>
  </si>
  <si>
    <t>TROW</t>
  </si>
  <si>
    <t>Target Corp</t>
  </si>
  <si>
    <t>TGT</t>
  </si>
  <si>
    <t>VF Corp.</t>
  </si>
  <si>
    <t>VFC</t>
  </si>
  <si>
    <t>W.W. Grainger Inc.</t>
  </si>
  <si>
    <t>GWW</t>
  </si>
  <si>
    <t>Walmart Inc</t>
  </si>
  <si>
    <t>WMT</t>
  </si>
  <si>
    <t>Walgreens Boots Alliance Inc</t>
  </si>
  <si>
    <t>WBA</t>
  </si>
  <si>
    <t>International Business Machines Corp.</t>
  </si>
  <si>
    <t>IBM</t>
  </si>
  <si>
    <t>NextEra Energy Inc</t>
  </si>
  <si>
    <t>NEE</t>
  </si>
  <si>
    <t>West Pharmaceutical Services, Inc.</t>
  </si>
  <si>
    <t>WST</t>
  </si>
  <si>
    <t>Amcor Plc</t>
  </si>
  <si>
    <t>AMCR</t>
  </si>
  <si>
    <t>Atmos Energy Corp.</t>
  </si>
  <si>
    <t>ATO</t>
  </si>
  <si>
    <t>Realty Income Corp.</t>
  </si>
  <si>
    <t>O</t>
  </si>
  <si>
    <t>Essex Property Trust, Inc.</t>
  </si>
  <si>
    <t>ESS</t>
  </si>
  <si>
    <t>Albemarle Corp.</t>
  </si>
  <si>
    <t>ALB</t>
  </si>
  <si>
    <t>Expeditors International Of Washington, Inc.</t>
  </si>
  <si>
    <t>EXPD</t>
  </si>
  <si>
    <t>Les données de rendement brut sont fournies à la date de dernière mise à jour.</t>
  </si>
  <si>
    <t>Les données de cours sont fournies à la date de dernière mise à jour.</t>
  </si>
  <si>
    <t>2.08</t>
  </si>
  <si>
    <t>3.48</t>
  </si>
  <si>
    <t>5.36</t>
  </si>
  <si>
    <t>6.56</t>
  </si>
  <si>
    <t>5.20</t>
  </si>
  <si>
    <t>0.73</t>
  </si>
  <si>
    <t>3.10</t>
  </si>
  <si>
    <t>2.83</t>
  </si>
  <si>
    <t>0.47</t>
  </si>
  <si>
    <t>1.87</t>
  </si>
  <si>
    <t>4.24</t>
  </si>
  <si>
    <t>1.12</t>
  </si>
  <si>
    <t>1.96</t>
  </si>
  <si>
    <t>4.56</t>
  </si>
  <si>
    <t>1.68</t>
  </si>
  <si>
    <t>5.92</t>
  </si>
  <si>
    <t>4.30</t>
  </si>
  <si>
    <t>8.36</t>
  </si>
  <si>
    <t>3.26</t>
  </si>
  <si>
    <t>2.50</t>
  </si>
  <si>
    <t>4.64</t>
  </si>
  <si>
    <t>1.88</t>
  </si>
  <si>
    <t>4.76</t>
  </si>
  <si>
    <t>1.32</t>
  </si>
  <si>
    <t>1.48</t>
  </si>
  <si>
    <t>5.16</t>
  </si>
  <si>
    <t>2.52</t>
  </si>
  <si>
    <t>1.80</t>
  </si>
  <si>
    <t>4.32</t>
  </si>
  <si>
    <t>2.02</t>
  </si>
  <si>
    <t>6.00</t>
  </si>
  <si>
    <t>4.44</t>
  </si>
  <si>
    <t>0.98</t>
  </si>
  <si>
    <t>1.54</t>
  </si>
  <si>
    <t>3.20</t>
  </si>
  <si>
    <t>3.72</t>
  </si>
  <si>
    <t>1.62</t>
  </si>
  <si>
    <t>2.20</t>
  </si>
  <si>
    <t>1.36</t>
  </si>
  <si>
    <t>1.04</t>
  </si>
  <si>
    <t>3.60</t>
  </si>
  <si>
    <t>6.48</t>
  </si>
  <si>
    <t>2.80</t>
  </si>
  <si>
    <t>3.32</t>
  </si>
  <si>
    <t>1.98</t>
  </si>
  <si>
    <t>2.16</t>
  </si>
  <si>
    <t>0.80</t>
  </si>
  <si>
    <t>0.72</t>
  </si>
  <si>
    <t>1.56</t>
  </si>
  <si>
    <t>1.92</t>
  </si>
  <si>
    <t>1.16</t>
  </si>
  <si>
    <t>3</t>
  </si>
  <si>
    <t>3.08</t>
  </si>
  <si>
    <t>2.25</t>
  </si>
  <si>
    <t>0.68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</si>
</sst>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[$$]#,##0.00"/>
  </numFmts>
  <fonts count="19" x14ac:knownFonts="1">
    <font>
      <sz val="10"/>
      <color rgb="FF000000"/>
      <name val="Arial"/>
    </font>
    <font>
      <b/>
      <sz val="24"/>
      <name val="Arial"/>
    </font>
    <font>
      <b/>
      <u/>
      <sz val="24"/>
      <color rgb="FFFF0000"/>
      <name val="Arial"/>
    </font>
    <font>
      <b/>
      <sz val="12"/>
      <color rgb="FF0000FF"/>
      <name val="Arial"/>
    </font>
    <font>
      <b/>
      <sz val="24"/>
      <color rgb="FFFF0000"/>
      <name val="Arial"/>
    </font>
    <font>
      <b/>
      <sz val="12"/>
      <color rgb="FFFFFF00"/>
      <name val="Arial"/>
    </font>
    <font>
      <b/>
      <sz val="12"/>
      <color rgb="FFFFFF00"/>
      <name val="Arial"/>
    </font>
    <font>
      <b/>
      <sz val="12"/>
      <color rgb="FF00FFFF"/>
      <name val="Arial"/>
    </font>
    <font>
      <b/>
      <sz val="12"/>
      <color rgb="FFFFFFFF"/>
      <name val="Arial"/>
    </font>
    <font>
      <b/>
      <sz val="12"/>
      <color rgb="FFFFFFFF"/>
      <name val="Arial"/>
    </font>
    <font>
      <b/>
      <u/>
      <sz val="12"/>
      <color rgb="FFFF9900"/>
      <name val="Arial"/>
    </font>
    <font>
      <b/>
      <sz val="14"/>
      <color rgb="FFFFFF00"/>
      <name val="Arial"/>
    </font>
    <font>
      <b/>
      <sz val="12"/>
      <color rgb="FFFF9900"/>
      <name val="Arial"/>
    </font>
    <font>
      <b/>
      <u/>
      <sz val="12"/>
      <color rgb="FF0000FF"/>
      <name val="Arial"/>
    </font>
    <font>
      <b/>
      <sz val="12"/>
      <name val="Arial"/>
    </font>
    <font>
      <b/>
      <sz val="18"/>
      <color rgb="FFFF0000"/>
      <name val="Arial"/>
    </font>
    <font>
      <b/>
      <u/>
      <sz val="12"/>
      <color rgb="FF1155CC"/>
      <name val="Arial"/>
    </font>
    <font>
      <sz val="10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7" fillId="3" borderId="0" xfId="0" applyNumberFormat="1" applyFont="1" applyFill="1"/>
    <xf numFmtId="49" fontId="8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/>
    <xf numFmtId="10" fontId="5" fillId="3" borderId="0" xfId="0" applyNumberFormat="1" applyFont="1" applyFill="1" applyAlignment="1">
      <alignment horizontal="center"/>
    </xf>
    <xf numFmtId="10" fontId="10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 vertical="top" wrapText="1"/>
    </xf>
    <xf numFmtId="164" fontId="11" fillId="3" borderId="0" xfId="0" applyNumberFormat="1" applyFont="1" applyFill="1" applyAlignment="1">
      <alignment horizontal="center" vertical="top" wrapText="1"/>
    </xf>
    <xf numFmtId="49" fontId="8" fillId="3" borderId="0" xfId="0" applyNumberFormat="1" applyFont="1" applyFill="1" applyAlignment="1"/>
    <xf numFmtId="10" fontId="9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/>
    <xf numFmtId="0" fontId="9" fillId="3" borderId="0" xfId="0" applyFont="1" applyFill="1" applyAlignment="1">
      <alignment horizontal="right"/>
    </xf>
    <xf numFmtId="49" fontId="7" fillId="4" borderId="0" xfId="0" applyNumberFormat="1" applyFont="1" applyFill="1" applyAlignment="1"/>
    <xf numFmtId="49" fontId="8" fillId="4" borderId="0" xfId="0" applyNumberFormat="1" applyFont="1" applyFill="1" applyAlignment="1"/>
    <xf numFmtId="165" fontId="9" fillId="4" borderId="0" xfId="0" applyNumberFormat="1" applyFont="1" applyFill="1"/>
    <xf numFmtId="165" fontId="9" fillId="4" borderId="0" xfId="0" applyNumberFormat="1" applyFont="1" applyFill="1" applyAlignment="1">
      <alignment horizontal="center"/>
    </xf>
    <xf numFmtId="10" fontId="12" fillId="4" borderId="0" xfId="0" applyNumberFormat="1" applyFont="1" applyFill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/>
    <xf numFmtId="10" fontId="17" fillId="0" borderId="0" xfId="0" applyNumberFormat="1" applyFont="1" applyAlignment="1"/>
    <xf numFmtId="0" fontId="18" fillId="0" borderId="0" xfId="0" applyFont="1"/>
    <xf numFmtId="10" fontId="17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revenusetdividendes.com/portefeuille-bourse-actions-dividendes-rendement/" TargetMode="External"/><Relationship Id="rId1" Type="http://schemas.openxmlformats.org/officeDocument/2006/relationships/hyperlink" Target="https://revenusetdividendes.com/formation-gagner-en-bourse-grace-aux-dividen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70"/>
  <sheetViews>
    <sheetView showGridLines="0" tabSelected="1" workbookViewId="0">
      <selection activeCell="H6" sqref="H6"/>
    </sheetView>
  </sheetViews>
  <sheetFormatPr baseColWidth="10" defaultColWidth="14.4609375" defaultRowHeight="15.75" customHeight="1" x14ac:dyDescent="0.3"/>
  <cols>
    <col min="1" max="1" width="36.69140625" customWidth="1"/>
    <col min="2" max="2" width="15.53515625" customWidth="1"/>
    <col min="3" max="3" width="15" customWidth="1"/>
    <col min="4" max="4" width="13.69140625" customWidth="1"/>
    <col min="5" max="5" width="20" customWidth="1"/>
    <col min="6" max="6" width="17.84375" customWidth="1"/>
  </cols>
  <sheetData>
    <row r="1" spans="1:6" ht="33.450000000000003" customHeight="1" x14ac:dyDescent="0.7">
      <c r="A1" s="35" t="s">
        <v>0</v>
      </c>
      <c r="B1" s="36"/>
      <c r="C1" s="36"/>
      <c r="D1" s="36"/>
      <c r="E1" s="36"/>
      <c r="F1" s="36"/>
    </row>
    <row r="2" spans="1:6" ht="30.9" customHeight="1" x14ac:dyDescent="0.7">
      <c r="A2" s="37" t="str">
        <f>HYPERLINK("https://revenusetdividendes.com/les-dividend-aristocrats-ou-le-meilleur-des-actions-a-dividendes/?utm_source=gsheet&amp;utm_medium=usdiva","RevenusetDividendes.com")</f>
        <v>RevenusetDividendes.com</v>
      </c>
      <c r="B2" s="36"/>
      <c r="C2" s="36"/>
      <c r="D2" s="36"/>
      <c r="E2" s="36"/>
      <c r="F2" s="36"/>
    </row>
    <row r="3" spans="1:6" ht="21" customHeight="1" x14ac:dyDescent="0.7">
      <c r="A3" s="1" t="s">
        <v>1</v>
      </c>
      <c r="B3" s="2"/>
      <c r="C3" s="2"/>
      <c r="D3" s="2"/>
      <c r="E3" s="2"/>
      <c r="F3" s="2"/>
    </row>
    <row r="4" spans="1:6" ht="15.75" customHeight="1" x14ac:dyDescent="0.3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" t="s">
        <v>7</v>
      </c>
    </row>
    <row r="5" spans="1:6" x14ac:dyDescent="0.4">
      <c r="A5" s="5"/>
      <c r="B5" s="6"/>
      <c r="C5" s="6"/>
      <c r="D5" s="6"/>
      <c r="E5" s="7"/>
      <c r="F5" s="7"/>
    </row>
    <row r="6" spans="1:6" x14ac:dyDescent="0.4">
      <c r="A6" s="8" t="str">
        <f ca="1">IFERROR(__xludf.DUMMYFUNCTION("QUERY(Data!$A2:$F70,""select A,B,C,E,F order by F desc"")"),"AT&amp;T, Inc.")</f>
        <v>AT&amp;T, Inc.</v>
      </c>
      <c r="B6" s="9" t="str">
        <f ca="1">IFERROR(__xludf.DUMMYFUNCTION("""COMPUTED_VALUE"""),"T")</f>
        <v>T</v>
      </c>
      <c r="C6" s="10" t="s">
        <v>299</v>
      </c>
      <c r="D6" s="11">
        <v>28.2</v>
      </c>
      <c r="E6" s="12">
        <v>7.3758865248226904E-2</v>
      </c>
      <c r="F6" s="13" t="str">
        <f t="shared" ref="F6:F70" ca="1" si="0">HYPERLINK(CONCATENATE("https://www.google.com/finance?q=",$B6),"Voir le cours")</f>
        <v>Voir le cours</v>
      </c>
    </row>
    <row r="7" spans="1:6" x14ac:dyDescent="0.4">
      <c r="A7" s="8" t="str">
        <f ca="1">IFERROR(__xludf.DUMMYFUNCTION("""COMPUTED_VALUE"""),"Exxon Mobil Corp.")</f>
        <v>Exxon Mobil Corp.</v>
      </c>
      <c r="B7" s="9" t="str">
        <f ca="1">IFERROR(__xludf.DUMMYFUNCTION("""COMPUTED_VALUE"""),"XOM")</f>
        <v>XOM</v>
      </c>
      <c r="C7" s="10" t="s">
        <v>300</v>
      </c>
      <c r="D7" s="11">
        <v>60.51</v>
      </c>
      <c r="E7" s="12">
        <v>5.7511155180961802E-2</v>
      </c>
      <c r="F7" s="13" t="str">
        <f t="shared" ca="1" si="0"/>
        <v>Voir le cours</v>
      </c>
    </row>
    <row r="8" spans="1:6" x14ac:dyDescent="0.4">
      <c r="A8" s="8" t="str">
        <f ca="1">IFERROR(__xludf.DUMMYFUNCTION("""COMPUTED_VALUE"""),"Chevron Corp.")</f>
        <v>Chevron Corp.</v>
      </c>
      <c r="B8" s="9" t="str">
        <f ca="1">IFERROR(__xludf.DUMMYFUNCTION("""COMPUTED_VALUE"""),"CVX")</f>
        <v>CVX</v>
      </c>
      <c r="C8" s="10" t="s">
        <v>301</v>
      </c>
      <c r="D8" s="11">
        <v>102.76</v>
      </c>
      <c r="E8" s="12">
        <v>5.2160373686259198E-2</v>
      </c>
      <c r="F8" s="13" t="str">
        <f t="shared" ca="1" si="0"/>
        <v>Voir le cours</v>
      </c>
    </row>
    <row r="9" spans="1:6" x14ac:dyDescent="0.4">
      <c r="A9" s="8" t="str">
        <f ca="1">IFERROR(__xludf.DUMMYFUNCTION("""COMPUTED_VALUE"""),"International Business Machines Corp.")</f>
        <v>International Business Machines Corp.</v>
      </c>
      <c r="B9" s="9" t="str">
        <f ca="1">IFERROR(__xludf.DUMMYFUNCTION("""COMPUTED_VALUE"""),"IBM")</f>
        <v>IBM</v>
      </c>
      <c r="C9" s="10" t="s">
        <v>302</v>
      </c>
      <c r="D9" s="11">
        <v>140.83000000000001</v>
      </c>
      <c r="E9" s="12">
        <v>4.6580984165305601E-2</v>
      </c>
      <c r="F9" s="13" t="str">
        <f t="shared" ca="1" si="0"/>
        <v>Voir le cours</v>
      </c>
    </row>
    <row r="10" spans="1:6" x14ac:dyDescent="0.4">
      <c r="A10" s="8" t="str">
        <f ca="1">IFERROR(__xludf.DUMMYFUNCTION("""COMPUTED_VALUE"""),"Abbvie Inc")</f>
        <v>Abbvie Inc</v>
      </c>
      <c r="B10" s="9" t="str">
        <f ca="1">IFERROR(__xludf.DUMMYFUNCTION("""COMPUTED_VALUE"""),"ABBV")</f>
        <v>ABBV</v>
      </c>
      <c r="C10" s="10" t="s">
        <v>303</v>
      </c>
      <c r="D10" s="11">
        <v>116.06</v>
      </c>
      <c r="E10" s="12">
        <v>4.4804411511287202E-2</v>
      </c>
      <c r="F10" s="13" t="str">
        <f t="shared" ca="1" si="0"/>
        <v>Voir le cours</v>
      </c>
    </row>
    <row r="11" spans="1:6" x14ac:dyDescent="0.4">
      <c r="A11" s="8" t="str">
        <f ca="1">IFERROR(__xludf.DUMMYFUNCTION("""COMPUTED_VALUE"""),"People`s United Financial Inc")</f>
        <v>People`s United Financial Inc</v>
      </c>
      <c r="B11" s="9" t="str">
        <f ca="1">IFERROR(__xludf.DUMMYFUNCTION("""COMPUTED_VALUE"""),"PBCT")</f>
        <v>PBCT</v>
      </c>
      <c r="C11" s="10" t="s">
        <v>304</v>
      </c>
      <c r="D11" s="11">
        <v>16.34</v>
      </c>
      <c r="E11" s="12">
        <v>4.4675642594859198E-2</v>
      </c>
      <c r="F11" s="13" t="str">
        <f t="shared" ca="1" si="0"/>
        <v>Voir le cours</v>
      </c>
    </row>
    <row r="12" spans="1:6" x14ac:dyDescent="0.4">
      <c r="A12" s="8" t="str">
        <f ca="1">IFERROR(__xludf.DUMMYFUNCTION("""COMPUTED_VALUE"""),"Consolidated Edison, Inc.")</f>
        <v>Consolidated Edison, Inc.</v>
      </c>
      <c r="B12" s="9" t="str">
        <f ca="1">IFERROR(__xludf.DUMMYFUNCTION("""COMPUTED_VALUE"""),"ED")</f>
        <v>ED</v>
      </c>
      <c r="C12" s="10" t="s">
        <v>305</v>
      </c>
      <c r="D12" s="11">
        <v>73.89</v>
      </c>
      <c r="E12" s="12">
        <v>4.19542563269725E-2</v>
      </c>
      <c r="F12" s="13" t="str">
        <f t="shared" ca="1" si="0"/>
        <v>Voir le cours</v>
      </c>
    </row>
    <row r="13" spans="1:6" x14ac:dyDescent="0.4">
      <c r="A13" s="8" t="str">
        <f ca="1">IFERROR(__xludf.DUMMYFUNCTION("""COMPUTED_VALUE"""),"Realty Income Corp.")</f>
        <v>Realty Income Corp.</v>
      </c>
      <c r="B13" s="9" t="str">
        <f ca="1">IFERROR(__xludf.DUMMYFUNCTION("""COMPUTED_VALUE"""),"O")</f>
        <v>O</v>
      </c>
      <c r="C13" s="10" t="s">
        <v>306</v>
      </c>
      <c r="D13" s="11">
        <v>68.17</v>
      </c>
      <c r="E13" s="12">
        <v>4.1513862402816397E-2</v>
      </c>
      <c r="F13" s="13" t="str">
        <f t="shared" ca="1" si="0"/>
        <v>Voir le cours</v>
      </c>
    </row>
    <row r="14" spans="1:6" x14ac:dyDescent="0.4">
      <c r="A14" s="8" t="str">
        <f ca="1">IFERROR(__xludf.DUMMYFUNCTION("""COMPUTED_VALUE"""),"Amcor Plc")</f>
        <v>Amcor Plc</v>
      </c>
      <c r="B14" s="9" t="str">
        <f ca="1">IFERROR(__xludf.DUMMYFUNCTION("""COMPUTED_VALUE"""),"AMCR")</f>
        <v>AMCR</v>
      </c>
      <c r="C14" s="10" t="s">
        <v>307</v>
      </c>
      <c r="D14" s="11">
        <v>11.42</v>
      </c>
      <c r="E14" s="12">
        <v>4.11558669001751E-2</v>
      </c>
      <c r="F14" s="13" t="str">
        <f t="shared" ca="1" si="0"/>
        <v>Voir le cours</v>
      </c>
    </row>
    <row r="15" spans="1:6" x14ac:dyDescent="0.4">
      <c r="A15" s="8" t="str">
        <f ca="1">IFERROR(__xludf.DUMMYFUNCTION("""COMPUTED_VALUE"""),"Walgreens Boots Alliance Inc")</f>
        <v>Walgreens Boots Alliance Inc</v>
      </c>
      <c r="B15" s="9" t="str">
        <f ca="1">IFERROR(__xludf.DUMMYFUNCTION("""COMPUTED_VALUE"""),"WBA")</f>
        <v>WBA</v>
      </c>
      <c r="C15" s="10" t="s">
        <v>308</v>
      </c>
      <c r="D15" s="11">
        <v>46.73</v>
      </c>
      <c r="E15" s="12">
        <v>4.0017119623368201E-2</v>
      </c>
      <c r="F15" s="13" t="str">
        <f t="shared" ca="1" si="0"/>
        <v>Voir le cours</v>
      </c>
    </row>
    <row r="16" spans="1:6" x14ac:dyDescent="0.4">
      <c r="A16" s="8" t="str">
        <f ca="1">IFERROR(__xludf.DUMMYFUNCTION("""COMPUTED_VALUE"""),"Federal Realty Investment Trust")</f>
        <v>Federal Realty Investment Trust</v>
      </c>
      <c r="B16" s="9" t="str">
        <f ca="1">IFERROR(__xludf.DUMMYFUNCTION("""COMPUTED_VALUE"""),"FRT")</f>
        <v>FRT</v>
      </c>
      <c r="C16" s="10" t="s">
        <v>309</v>
      </c>
      <c r="D16" s="11">
        <v>114.82</v>
      </c>
      <c r="E16" s="12">
        <v>3.6927364570632198E-2</v>
      </c>
      <c r="F16" s="13" t="str">
        <f t="shared" ca="1" si="0"/>
        <v>Voir le cours</v>
      </c>
    </row>
    <row r="17" spans="1:6" x14ac:dyDescent="0.4">
      <c r="A17" s="8" t="str">
        <f ca="1">IFERROR(__xludf.DUMMYFUNCTION("""COMPUTED_VALUE"""),"Franklin Resources, Inc.")</f>
        <v>Franklin Resources, Inc.</v>
      </c>
      <c r="B17" s="9" t="str">
        <f ca="1">IFERROR(__xludf.DUMMYFUNCTION("""COMPUTED_VALUE"""),"BEN")</f>
        <v>BEN</v>
      </c>
      <c r="C17" s="10" t="s">
        <v>310</v>
      </c>
      <c r="D17" s="11">
        <v>31.37</v>
      </c>
      <c r="E17" s="12">
        <v>3.57029008606949E-2</v>
      </c>
      <c r="F17" s="13" t="str">
        <f t="shared" ca="1" si="0"/>
        <v>Voir le cours</v>
      </c>
    </row>
    <row r="18" spans="1:6" x14ac:dyDescent="0.4">
      <c r="A18" s="8" t="str">
        <f ca="1">IFERROR(__xludf.DUMMYFUNCTION("""COMPUTED_VALUE"""),"Cardinal Health, Inc.")</f>
        <v>Cardinal Health, Inc.</v>
      </c>
      <c r="B18" s="9" t="str">
        <f ca="1">IFERROR(__xludf.DUMMYFUNCTION("""COMPUTED_VALUE"""),"CAH")</f>
        <v>CAH</v>
      </c>
      <c r="C18" s="10" t="s">
        <v>311</v>
      </c>
      <c r="D18" s="11">
        <v>56.47</v>
      </c>
      <c r="E18" s="12">
        <v>3.4708694882238302E-2</v>
      </c>
      <c r="F18" s="13" t="str">
        <f t="shared" ca="1" si="0"/>
        <v>Voir le cours</v>
      </c>
    </row>
    <row r="19" spans="1:6" x14ac:dyDescent="0.4">
      <c r="A19" s="8" t="str">
        <f ca="1">IFERROR(__xludf.DUMMYFUNCTION("""COMPUTED_VALUE"""),"Kimberly-Clark Corp.")</f>
        <v>Kimberly-Clark Corp.</v>
      </c>
      <c r="B19" s="9" t="str">
        <f ca="1">IFERROR(__xludf.DUMMYFUNCTION("""COMPUTED_VALUE"""),"KMB")</f>
        <v>KMB</v>
      </c>
      <c r="C19" s="10" t="s">
        <v>312</v>
      </c>
      <c r="D19" s="11">
        <v>134.82</v>
      </c>
      <c r="E19" s="12">
        <v>3.3822874944370203E-2</v>
      </c>
      <c r="F19" s="13" t="str">
        <f t="shared" ca="1" si="0"/>
        <v>Voir le cours</v>
      </c>
    </row>
    <row r="20" spans="1:6" x14ac:dyDescent="0.4">
      <c r="A20" s="8" t="str">
        <f ca="1">IFERROR(__xludf.DUMMYFUNCTION("""COMPUTED_VALUE"""),"Leggett &amp; Platt, Inc.")</f>
        <v>Leggett &amp; Platt, Inc.</v>
      </c>
      <c r="B20" s="9" t="str">
        <f ca="1">IFERROR(__xludf.DUMMYFUNCTION("""COMPUTED_VALUE"""),"LEG")</f>
        <v>LEG</v>
      </c>
      <c r="C20" s="10" t="s">
        <v>313</v>
      </c>
      <c r="D20" s="11">
        <v>49.78</v>
      </c>
      <c r="E20" s="12">
        <v>3.3748493370831599E-2</v>
      </c>
      <c r="F20" s="13" t="str">
        <f t="shared" ca="1" si="0"/>
        <v>Voir le cours</v>
      </c>
    </row>
    <row r="21" spans="1:6" x14ac:dyDescent="0.4">
      <c r="A21" s="8" t="str">
        <f ca="1">IFERROR(__xludf.DUMMYFUNCTION("""COMPUTED_VALUE"""),"Coca-Cola Co")</f>
        <v>Coca-Cola Co</v>
      </c>
      <c r="B21" s="9" t="str">
        <f ca="1">IFERROR(__xludf.DUMMYFUNCTION("""COMPUTED_VALUE"""),"KO")</f>
        <v>KO</v>
      </c>
      <c r="C21" s="10" t="s">
        <v>313</v>
      </c>
      <c r="D21" s="11">
        <v>53.96</v>
      </c>
      <c r="E21" s="12">
        <v>3.1134173461823501E-2</v>
      </c>
      <c r="F21" s="13" t="str">
        <f t="shared" ca="1" si="0"/>
        <v>Voir le cours</v>
      </c>
    </row>
    <row r="22" spans="1:6" x14ac:dyDescent="0.4">
      <c r="A22" s="8" t="str">
        <f ca="1">IFERROR(__xludf.DUMMYFUNCTION("""COMPUTED_VALUE"""),"3M Co.")</f>
        <v>3M Co.</v>
      </c>
      <c r="B22" s="9" t="str">
        <f ca="1">IFERROR(__xludf.DUMMYFUNCTION("""COMPUTED_VALUE"""),"MMM")</f>
        <v>MMM</v>
      </c>
      <c r="C22" s="10" t="s">
        <v>314</v>
      </c>
      <c r="D22" s="11">
        <v>198.27</v>
      </c>
      <c r="E22" s="12">
        <v>2.98582740707116E-2</v>
      </c>
      <c r="F22" s="13" t="str">
        <f t="shared" ca="1" si="0"/>
        <v>Voir le cours</v>
      </c>
    </row>
    <row r="23" spans="1:6" x14ac:dyDescent="0.4">
      <c r="A23" s="8" t="str">
        <f ca="1">IFERROR(__xludf.DUMMYFUNCTION("""COMPUTED_VALUE"""),"PepsiCo Inc")</f>
        <v>PepsiCo Inc</v>
      </c>
      <c r="B23" s="9" t="str">
        <f ca="1">IFERROR(__xludf.DUMMYFUNCTION("""COMPUTED_VALUE"""),"PEP")</f>
        <v>PEP</v>
      </c>
      <c r="C23" s="10" t="s">
        <v>315</v>
      </c>
      <c r="D23" s="11">
        <v>149.6</v>
      </c>
      <c r="E23" s="12">
        <v>2.8743315508021301E-2</v>
      </c>
      <c r="F23" s="13" t="str">
        <f t="shared" ca="1" si="0"/>
        <v>Voir le cours</v>
      </c>
    </row>
    <row r="24" spans="1:6" x14ac:dyDescent="0.4">
      <c r="A24" s="8" t="str">
        <f ca="1">IFERROR(__xludf.DUMMYFUNCTION("""COMPUTED_VALUE"""),"Essex Property Trust, Inc.")</f>
        <v>Essex Property Trust, Inc.</v>
      </c>
      <c r="B24" s="9" t="str">
        <f ca="1">IFERROR(__xludf.DUMMYFUNCTION("""COMPUTED_VALUE"""),"ESS")</f>
        <v>ESS</v>
      </c>
      <c r="C24" s="10" t="s">
        <v>316</v>
      </c>
      <c r="D24" s="11">
        <v>312.17</v>
      </c>
      <c r="E24" s="12">
        <v>2.67802799756542E-2</v>
      </c>
      <c r="F24" s="13" t="str">
        <f t="shared" ca="1" si="0"/>
        <v>Voir le cours</v>
      </c>
    </row>
    <row r="25" spans="1:6" x14ac:dyDescent="0.4">
      <c r="A25" s="8" t="str">
        <f ca="1">IFERROR(__xludf.DUMMYFUNCTION("""COMPUTED_VALUE"""),"Genuine Parts Co.")</f>
        <v>Genuine Parts Co.</v>
      </c>
      <c r="B25" s="9" t="str">
        <f ca="1">IFERROR(__xludf.DUMMYFUNCTION("""COMPUTED_VALUE"""),"GPC")</f>
        <v>GPC</v>
      </c>
      <c r="C25" s="10" t="s">
        <v>317</v>
      </c>
      <c r="D25" s="11">
        <v>127.15</v>
      </c>
      <c r="E25" s="12">
        <v>2.5639009044435699E-2</v>
      </c>
      <c r="F25" s="13" t="str">
        <f t="shared" ca="1" si="0"/>
        <v>Voir le cours</v>
      </c>
    </row>
    <row r="26" spans="1:6" x14ac:dyDescent="0.4">
      <c r="A26" s="8" t="str">
        <f ca="1">IFERROR(__xludf.DUMMYFUNCTION("""COMPUTED_VALUE"""),"Procter &amp; Gamble Co.")</f>
        <v>Procter &amp; Gamble Co.</v>
      </c>
      <c r="B26" s="9" t="str">
        <f ca="1">IFERROR(__xludf.DUMMYFUNCTION("""COMPUTED_VALUE"""),"PG")</f>
        <v>PG</v>
      </c>
      <c r="C26" s="10" t="s">
        <v>300</v>
      </c>
      <c r="D26" s="11">
        <v>136.16999999999999</v>
      </c>
      <c r="E26" s="12">
        <v>2.5556289931702999E-2</v>
      </c>
      <c r="F26" s="13" t="str">
        <f t="shared" ca="1" si="0"/>
        <v>Voir le cours</v>
      </c>
    </row>
    <row r="27" spans="1:6" ht="15.45" x14ac:dyDescent="0.4">
      <c r="A27" s="8" t="str">
        <f ca="1">IFERROR(__xludf.DUMMYFUNCTION("""COMPUTED_VALUE"""),"Atmos Energy Corp.")</f>
        <v>Atmos Energy Corp.</v>
      </c>
      <c r="B27" s="9" t="str">
        <f ca="1">IFERROR(__xludf.DUMMYFUNCTION("""COMPUTED_VALUE"""),"ATO")</f>
        <v>ATO</v>
      </c>
      <c r="C27" s="10" t="s">
        <v>318</v>
      </c>
      <c r="D27" s="11">
        <v>98.17</v>
      </c>
      <c r="E27" s="12">
        <v>2.5466028318223401E-2</v>
      </c>
      <c r="F27" s="13" t="str">
        <f t="shared" ca="1" si="0"/>
        <v>Voir le cours</v>
      </c>
    </row>
    <row r="28" spans="1:6" ht="15.45" x14ac:dyDescent="0.4">
      <c r="A28" s="8" t="str">
        <f ca="1">IFERROR(__xludf.DUMMYFUNCTION("""COMPUTED_VALUE"""),"Clorox Co.")</f>
        <v>Clorox Co.</v>
      </c>
      <c r="B28" s="9" t="str">
        <f ca="1">IFERROR(__xludf.DUMMYFUNCTION("""COMPUTED_VALUE"""),"CLX")</f>
        <v>CLX</v>
      </c>
      <c r="C28" s="10" t="s">
        <v>319</v>
      </c>
      <c r="D28" s="11">
        <v>183.27</v>
      </c>
      <c r="E28" s="12">
        <v>2.53178370709881E-2</v>
      </c>
      <c r="F28" s="13" t="str">
        <f t="shared" ca="1" si="0"/>
        <v>Voir le cours</v>
      </c>
    </row>
    <row r="29" spans="1:6" ht="15.45" x14ac:dyDescent="0.4">
      <c r="A29" s="8" t="str">
        <f ca="1">IFERROR(__xludf.DUMMYFUNCTION("""COMPUTED_VALUE"""),"Johnson &amp; Johnson")</f>
        <v>Johnson &amp; Johnson</v>
      </c>
      <c r="B29" s="9" t="str">
        <f ca="1">IFERROR(__xludf.DUMMYFUNCTION("""COMPUTED_VALUE"""),"JNJ")</f>
        <v>JNJ</v>
      </c>
      <c r="C29" s="10" t="s">
        <v>309</v>
      </c>
      <c r="D29" s="11">
        <v>167.81</v>
      </c>
      <c r="E29" s="12">
        <v>2.52666706394136E-2</v>
      </c>
      <c r="F29" s="13" t="str">
        <f t="shared" ca="1" si="0"/>
        <v>Voir le cours</v>
      </c>
    </row>
    <row r="30" spans="1:6" ht="15.45" x14ac:dyDescent="0.4">
      <c r="A30" s="8" t="str">
        <f ca="1">IFERROR(__xludf.DUMMYFUNCTION("""COMPUTED_VALUE"""),"Sysco Corp.")</f>
        <v>Sysco Corp.</v>
      </c>
      <c r="B30" s="9" t="str">
        <f ca="1">IFERROR(__xludf.DUMMYFUNCTION("""COMPUTED_VALUE"""),"SYY")</f>
        <v>SYY</v>
      </c>
      <c r="C30" s="10" t="s">
        <v>320</v>
      </c>
      <c r="D30" s="11">
        <v>74.41</v>
      </c>
      <c r="E30" s="12">
        <v>2.5265421314339401E-2</v>
      </c>
      <c r="F30" s="13" t="str">
        <f t="shared" ca="1" si="0"/>
        <v>Voir le cours</v>
      </c>
    </row>
    <row r="31" spans="1:6" ht="15.45" x14ac:dyDescent="0.4">
      <c r="A31" s="8" t="str">
        <f ca="1">IFERROR(__xludf.DUMMYFUNCTION("""COMPUTED_VALUE"""),"General Dynamics Corp.")</f>
        <v>General Dynamics Corp.</v>
      </c>
      <c r="B31" s="9" t="str">
        <f ca="1">IFERROR(__xludf.DUMMYFUNCTION("""COMPUTED_VALUE"""),"GD")</f>
        <v>GD</v>
      </c>
      <c r="C31" s="10" t="s">
        <v>321</v>
      </c>
      <c r="D31" s="11">
        <v>188.73</v>
      </c>
      <c r="E31" s="12">
        <v>2.5221215493032301E-2</v>
      </c>
      <c r="F31" s="13" t="str">
        <f t="shared" ca="1" si="0"/>
        <v>Voir le cours</v>
      </c>
    </row>
    <row r="32" spans="1:6" ht="15.45" x14ac:dyDescent="0.4">
      <c r="A32" s="8" t="str">
        <f ca="1">IFERROR(__xludf.DUMMYFUNCTION("""COMPUTED_VALUE"""),"Aflac Inc.")</f>
        <v>Aflac Inc.</v>
      </c>
      <c r="B32" s="9" t="str">
        <f ca="1">IFERROR(__xludf.DUMMYFUNCTION("""COMPUTED_VALUE"""),"AFL")</f>
        <v>AFL</v>
      </c>
      <c r="C32" s="10" t="s">
        <v>322</v>
      </c>
      <c r="D32" s="11">
        <v>52.73</v>
      </c>
      <c r="E32" s="12">
        <v>2.5033187938554899E-2</v>
      </c>
      <c r="F32" s="13" t="str">
        <f t="shared" ca="1" si="0"/>
        <v>Voir le cours</v>
      </c>
    </row>
    <row r="33" spans="1:6" ht="15.45" x14ac:dyDescent="0.4">
      <c r="A33" s="8" t="str">
        <f ca="1">IFERROR(__xludf.DUMMYFUNCTION("""COMPUTED_VALUE"""),"Archer Daniels Midland Co.")</f>
        <v>Archer Daniels Midland Co.</v>
      </c>
      <c r="B33" s="9" t="str">
        <f ca="1">IFERROR(__xludf.DUMMYFUNCTION("""COMPUTED_VALUE"""),"ADM")</f>
        <v>ADM</v>
      </c>
      <c r="C33" s="10" t="s">
        <v>323</v>
      </c>
      <c r="D33" s="11">
        <v>59.35</v>
      </c>
      <c r="E33" s="12">
        <v>2.4936815501263601E-2</v>
      </c>
      <c r="F33" s="13" t="str">
        <f t="shared" ca="1" si="0"/>
        <v>Voir le cours</v>
      </c>
    </row>
    <row r="34" spans="1:6" ht="15.45" x14ac:dyDescent="0.4">
      <c r="A34" s="8" t="str">
        <f ca="1">IFERROR(__xludf.DUMMYFUNCTION("""COMPUTED_VALUE"""),"VF Corp.")</f>
        <v>VF Corp.</v>
      </c>
      <c r="B34" s="9" t="str">
        <f ca="1">IFERROR(__xludf.DUMMYFUNCTION("""COMPUTED_VALUE"""),"VFC")</f>
        <v>VFC</v>
      </c>
      <c r="C34" s="10" t="s">
        <v>311</v>
      </c>
      <c r="D34" s="11">
        <v>80.78</v>
      </c>
      <c r="E34" s="12">
        <v>2.4263431542461002E-2</v>
      </c>
      <c r="F34" s="13" t="str">
        <f t="shared" ca="1" si="0"/>
        <v>Voir le cours</v>
      </c>
    </row>
    <row r="35" spans="1:6" ht="15.45" x14ac:dyDescent="0.4">
      <c r="A35" s="8" t="str">
        <f ca="1">IFERROR(__xludf.DUMMYFUNCTION("""COMPUTED_VALUE"""),"McDonald`s Corp")</f>
        <v>McDonald`s Corp</v>
      </c>
      <c r="B35" s="9" t="str">
        <f ca="1">IFERROR(__xludf.DUMMYFUNCTION("""COMPUTED_VALUE"""),"MCD")</f>
        <v>MCD</v>
      </c>
      <c r="C35" s="10" t="s">
        <v>324</v>
      </c>
      <c r="D35" s="11">
        <v>232.27</v>
      </c>
      <c r="E35" s="12">
        <v>2.2215525035519001E-2</v>
      </c>
      <c r="F35" s="13" t="str">
        <f t="shared" ca="1" si="0"/>
        <v>Voir le cours</v>
      </c>
    </row>
    <row r="36" spans="1:6" ht="15.45" x14ac:dyDescent="0.4">
      <c r="A36" s="8" t="str">
        <f ca="1">IFERROR(__xludf.DUMMYFUNCTION("""COMPUTED_VALUE"""),"Cincinnati Financial Corp.")</f>
        <v>Cincinnati Financial Corp.</v>
      </c>
      <c r="B36" s="9" t="str">
        <f ca="1">IFERROR(__xludf.DUMMYFUNCTION("""COMPUTED_VALUE"""),"CINF")</f>
        <v>CINF</v>
      </c>
      <c r="C36" s="10" t="s">
        <v>325</v>
      </c>
      <c r="D36" s="11">
        <v>114.42</v>
      </c>
      <c r="E36" s="12">
        <v>2.2024121657052899E-2</v>
      </c>
      <c r="F36" s="13" t="str">
        <f t="shared" ca="1" si="0"/>
        <v>Voir le cours</v>
      </c>
    </row>
    <row r="37" spans="1:6" ht="15.45" x14ac:dyDescent="0.4">
      <c r="A37" s="8" t="str">
        <f ca="1">IFERROR(__xludf.DUMMYFUNCTION("""COMPUTED_VALUE"""),"Colgate-Palmolive Co.")</f>
        <v>Colgate-Palmolive Co.</v>
      </c>
      <c r="B37" s="9" t="str">
        <f ca="1">IFERROR(__xludf.DUMMYFUNCTION("""COMPUTED_VALUE"""),"CL")</f>
        <v>CL</v>
      </c>
      <c r="C37" s="10" t="s">
        <v>326</v>
      </c>
      <c r="D37" s="11">
        <v>82.22</v>
      </c>
      <c r="E37" s="12">
        <v>2.1892483580637299E-2</v>
      </c>
      <c r="F37" s="13" t="str">
        <f t="shared" ca="1" si="0"/>
        <v>Voir le cours</v>
      </c>
    </row>
    <row r="38" spans="1:6" ht="15.45" x14ac:dyDescent="0.4">
      <c r="A38" s="8" t="str">
        <f ca="1">IFERROR(__xludf.DUMMYFUNCTION("""COMPUTED_VALUE"""),"T. Rowe Price Group Inc.")</f>
        <v>T. Rowe Price Group Inc.</v>
      </c>
      <c r="B38" s="9" t="str">
        <f ca="1">IFERROR(__xludf.DUMMYFUNCTION("""COMPUTED_VALUE"""),"TROW")</f>
        <v>TROW</v>
      </c>
      <c r="C38" s="10" t="s">
        <v>327</v>
      </c>
      <c r="D38" s="11">
        <v>198.94</v>
      </c>
      <c r="E38" s="12">
        <v>2.1715089976877398E-2</v>
      </c>
      <c r="F38" s="13" t="str">
        <f t="shared" ca="1" si="0"/>
        <v>Voir le cours</v>
      </c>
    </row>
    <row r="39" spans="1:6" ht="15.45" x14ac:dyDescent="0.4">
      <c r="A39" s="8" t="str">
        <f ca="1">IFERROR(__xludf.DUMMYFUNCTION("""COMPUTED_VALUE"""),"Emerson Electric Co.")</f>
        <v>Emerson Electric Co.</v>
      </c>
      <c r="B39" s="9" t="str">
        <f ca="1">IFERROR(__xludf.DUMMYFUNCTION("""COMPUTED_VALUE"""),"EMR")</f>
        <v>EMR</v>
      </c>
      <c r="C39" s="10" t="s">
        <v>328</v>
      </c>
      <c r="D39" s="11">
        <v>95.67</v>
      </c>
      <c r="E39" s="12">
        <v>2.1114246890352201E-2</v>
      </c>
      <c r="F39" s="13" t="str">
        <f t="shared" ca="1" si="0"/>
        <v>Voir le cours</v>
      </c>
    </row>
    <row r="40" spans="1:6" ht="15.45" x14ac:dyDescent="0.4">
      <c r="A40" s="8" t="str">
        <f ca="1">IFERROR(__xludf.DUMMYFUNCTION("""COMPUTED_VALUE"""),"Air Products &amp; Chemicals Inc.")</f>
        <v>Air Products &amp; Chemicals Inc.</v>
      </c>
      <c r="B40" s="9" t="str">
        <f ca="1">IFERROR(__xludf.DUMMYFUNCTION("""COMPUTED_VALUE"""),"APD")</f>
        <v>APD</v>
      </c>
      <c r="C40" s="10" t="s">
        <v>329</v>
      </c>
      <c r="D40" s="11">
        <v>285.58</v>
      </c>
      <c r="E40" s="12">
        <v>2.10098746410813E-2</v>
      </c>
      <c r="F40" s="13" t="str">
        <f t="shared" ca="1" si="0"/>
        <v>Voir le cours</v>
      </c>
    </row>
    <row r="41" spans="1:6" ht="15.45" x14ac:dyDescent="0.4">
      <c r="A41" s="8" t="str">
        <f ca="1">IFERROR(__xludf.DUMMYFUNCTION("""COMPUTED_VALUE"""),"Caterpillar Inc.")</f>
        <v>Caterpillar Inc.</v>
      </c>
      <c r="B41" s="9" t="str">
        <f ca="1">IFERROR(__xludf.DUMMYFUNCTION("""COMPUTED_VALUE"""),"CAT")</f>
        <v>CAT</v>
      </c>
      <c r="C41" s="10" t="s">
        <v>330</v>
      </c>
      <c r="D41" s="11">
        <v>212.4</v>
      </c>
      <c r="E41" s="12">
        <v>2.0903954802259799E-2</v>
      </c>
      <c r="F41" s="13" t="str">
        <f t="shared" ca="1" si="0"/>
        <v>Voir le cours</v>
      </c>
    </row>
    <row r="42" spans="1:6" ht="15.45" x14ac:dyDescent="0.4">
      <c r="A42" s="8" t="str">
        <f ca="1">IFERROR(__xludf.DUMMYFUNCTION("""COMPUTED_VALUE"""),"Illinois Tool Works, Inc.")</f>
        <v>Illinois Tool Works, Inc.</v>
      </c>
      <c r="B42" s="9" t="str">
        <f ca="1">IFERROR(__xludf.DUMMYFUNCTION("""COMPUTED_VALUE"""),"ITW")</f>
        <v>ITW</v>
      </c>
      <c r="C42" s="10" t="s">
        <v>312</v>
      </c>
      <c r="D42" s="11">
        <v>222.99</v>
      </c>
      <c r="E42" s="12">
        <v>2.0449347504372301E-2</v>
      </c>
      <c r="F42" s="13" t="str">
        <f t="shared" ca="1" si="0"/>
        <v>Voir le cours</v>
      </c>
    </row>
    <row r="43" spans="1:6" ht="15.45" x14ac:dyDescent="0.4">
      <c r="A43" s="8" t="str">
        <f ca="1">IFERROR(__xludf.DUMMYFUNCTION("""COMPUTED_VALUE"""),"Hormel Foods Corp.")</f>
        <v>Hormel Foods Corp.</v>
      </c>
      <c r="B43" s="9" t="str">
        <f ca="1">IFERROR(__xludf.DUMMYFUNCTION("""COMPUTED_VALUE"""),"HRL")</f>
        <v>HRL</v>
      </c>
      <c r="C43" s="10" t="s">
        <v>331</v>
      </c>
      <c r="D43" s="11">
        <v>48.05</v>
      </c>
      <c r="E43" s="12">
        <v>2.0395421436004101E-2</v>
      </c>
      <c r="F43" s="13" t="str">
        <f t="shared" ca="1" si="0"/>
        <v>Voir le cours</v>
      </c>
    </row>
    <row r="44" spans="1:6" ht="15.45" x14ac:dyDescent="0.4">
      <c r="A44" s="8" t="str">
        <f ca="1">IFERROR(__xludf.DUMMYFUNCTION("""COMPUTED_VALUE"""),"NextEra Energy Inc")</f>
        <v>NextEra Energy Inc</v>
      </c>
      <c r="B44" s="9" t="str">
        <f ca="1">IFERROR(__xludf.DUMMYFUNCTION("""COMPUTED_VALUE"""),"NEE")</f>
        <v>NEE</v>
      </c>
      <c r="C44" s="10" t="s">
        <v>332</v>
      </c>
      <c r="D44" s="11">
        <v>75.510000000000005</v>
      </c>
      <c r="E44" s="12">
        <v>2.0394649715269501E-2</v>
      </c>
      <c r="F44" s="13" t="str">
        <f t="shared" ca="1" si="0"/>
        <v>Voir le cours</v>
      </c>
    </row>
    <row r="45" spans="1:6" ht="15.45" x14ac:dyDescent="0.4">
      <c r="A45" s="8" t="str">
        <f ca="1">IFERROR(__xludf.DUMMYFUNCTION("""COMPUTED_VALUE"""),"Chubb Limited")</f>
        <v>Chubb Limited</v>
      </c>
      <c r="B45" s="9" t="str">
        <f ca="1">IFERROR(__xludf.DUMMYFUNCTION("""COMPUTED_VALUE"""),"CB")</f>
        <v>CB</v>
      </c>
      <c r="C45" s="10" t="s">
        <v>333</v>
      </c>
      <c r="D45" s="11">
        <v>159.16999999999999</v>
      </c>
      <c r="E45" s="12">
        <v>2.01042910096123E-2</v>
      </c>
      <c r="F45" s="13" t="str">
        <f t="shared" ca="1" si="0"/>
        <v>Voir le cours</v>
      </c>
    </row>
    <row r="46" spans="1:6" ht="15.45" x14ac:dyDescent="0.4">
      <c r="A46" s="8" t="str">
        <f ca="1">IFERROR(__xludf.DUMMYFUNCTION("""COMPUTED_VALUE"""),"Medtronic Plc")</f>
        <v>Medtronic Plc</v>
      </c>
      <c r="B46" s="9" t="str">
        <f ca="1">IFERROR(__xludf.DUMMYFUNCTION("""COMPUTED_VALUE"""),"MDT")</f>
        <v>MDT</v>
      </c>
      <c r="C46" s="10" t="s">
        <v>325</v>
      </c>
      <c r="D46" s="11">
        <v>126.23</v>
      </c>
      <c r="E46" s="12">
        <v>1.9963558583537901E-2</v>
      </c>
      <c r="F46" s="13" t="str">
        <f t="shared" ca="1" si="0"/>
        <v>Voir le cours</v>
      </c>
    </row>
    <row r="47" spans="1:6" ht="15.45" x14ac:dyDescent="0.4">
      <c r="A47" s="8" t="str">
        <f ca="1">IFERROR(__xludf.DUMMYFUNCTION("""COMPUTED_VALUE"""),"Automatic Data Processing Inc.")</f>
        <v>Automatic Data Processing Inc.</v>
      </c>
      <c r="B47" s="9" t="str">
        <f ca="1">IFERROR(__xludf.DUMMYFUNCTION("""COMPUTED_VALUE"""),"ADP")</f>
        <v>ADP</v>
      </c>
      <c r="C47" s="10" t="s">
        <v>334</v>
      </c>
      <c r="D47" s="11">
        <v>201.39</v>
      </c>
      <c r="E47" s="12">
        <v>1.8471622225532499E-2</v>
      </c>
      <c r="F47" s="13" t="str">
        <f t="shared" ca="1" si="0"/>
        <v>Voir le cours</v>
      </c>
    </row>
    <row r="48" spans="1:6" ht="15.45" x14ac:dyDescent="0.4">
      <c r="A48" s="8" t="str">
        <f ca="1">IFERROR(__xludf.DUMMYFUNCTION("""COMPUTED_VALUE"""),"Nucor Corp.")</f>
        <v>Nucor Corp.</v>
      </c>
      <c r="B48" s="9" t="str">
        <f ca="1">IFERROR(__xludf.DUMMYFUNCTION("""COMPUTED_VALUE"""),"NUE")</f>
        <v>NUE</v>
      </c>
      <c r="C48" s="10" t="s">
        <v>335</v>
      </c>
      <c r="D48" s="11">
        <v>93.65</v>
      </c>
      <c r="E48" s="12">
        <v>1.7298451681793899E-2</v>
      </c>
      <c r="F48" s="13" t="str">
        <f t="shared" ca="1" si="0"/>
        <v>Voir le cours</v>
      </c>
    </row>
    <row r="49" spans="1:6" ht="15.45" x14ac:dyDescent="0.4">
      <c r="A49" s="8" t="str">
        <f ca="1">IFERROR(__xludf.DUMMYFUNCTION("""COMPUTED_VALUE"""),"Lowe`s Cos., Inc.")</f>
        <v>Lowe`s Cos., Inc.</v>
      </c>
      <c r="B49" s="9" t="str">
        <f ca="1">IFERROR(__xludf.DUMMYFUNCTION("""COMPUTED_VALUE"""),"LOW")</f>
        <v>LOW</v>
      </c>
      <c r="C49" s="10" t="s">
        <v>333</v>
      </c>
      <c r="D49" s="11">
        <v>192.58</v>
      </c>
      <c r="E49" s="12">
        <v>1.6616471076954999E-2</v>
      </c>
      <c r="F49" s="13" t="str">
        <f t="shared" ca="1" si="0"/>
        <v>Voir le cours</v>
      </c>
    </row>
    <row r="50" spans="1:6" ht="15.45" x14ac:dyDescent="0.4">
      <c r="A50" s="8" t="str">
        <f ca="1">IFERROR(__xludf.DUMMYFUNCTION("""COMPUTED_VALUE"""),"Walmart Inc")</f>
        <v>Walmart Inc</v>
      </c>
      <c r="B50" s="9" t="str">
        <f ca="1">IFERROR(__xludf.DUMMYFUNCTION("""COMPUTED_VALUE"""),"WMT")</f>
        <v>WMT</v>
      </c>
      <c r="C50" s="10" t="s">
        <v>336</v>
      </c>
      <c r="D50" s="11">
        <v>139.21</v>
      </c>
      <c r="E50" s="12">
        <v>1.5803462394942801E-2</v>
      </c>
      <c r="F50" s="13" t="str">
        <f t="shared" ca="1" si="0"/>
        <v>Voir le cours</v>
      </c>
    </row>
    <row r="51" spans="1:6" ht="15.45" x14ac:dyDescent="0.4">
      <c r="A51" s="8" t="str">
        <f ca="1">IFERROR(__xludf.DUMMYFUNCTION("""COMPUTED_VALUE"""),"McCormick &amp; Co., Inc.")</f>
        <v>McCormick &amp; Co., Inc.</v>
      </c>
      <c r="B51" s="9" t="str">
        <f ca="1">IFERROR(__xludf.DUMMYFUNCTION("""COMPUTED_VALUE"""),"MKC")</f>
        <v>MKC</v>
      </c>
      <c r="C51" s="10" t="s">
        <v>337</v>
      </c>
      <c r="D51" s="11">
        <v>87.58</v>
      </c>
      <c r="E51" s="12">
        <v>1.55286595113039E-2</v>
      </c>
      <c r="F51" s="13" t="str">
        <f t="shared" ca="1" si="0"/>
        <v>Voir le cours</v>
      </c>
    </row>
    <row r="52" spans="1:6" ht="15.45" x14ac:dyDescent="0.4">
      <c r="A52" s="8" t="str">
        <f ca="1">IFERROR(__xludf.DUMMYFUNCTION("""COMPUTED_VALUE"""),"Abbott Laboratories")</f>
        <v>Abbott Laboratories</v>
      </c>
      <c r="B52" s="9" t="str">
        <f ca="1">IFERROR(__xludf.DUMMYFUNCTION("""COMPUTED_VALUE"""),"ABT")</f>
        <v>ABT</v>
      </c>
      <c r="C52" s="10" t="s">
        <v>326</v>
      </c>
      <c r="D52" s="11">
        <v>118.44</v>
      </c>
      <c r="E52" s="12">
        <v>1.5197568389057701E-2</v>
      </c>
      <c r="F52" s="13" t="str">
        <f t="shared" ca="1" si="0"/>
        <v>Voir le cours</v>
      </c>
    </row>
    <row r="53" spans="1:6" ht="15.45" x14ac:dyDescent="0.4">
      <c r="A53" s="8" t="str">
        <f ca="1">IFERROR(__xludf.DUMMYFUNCTION("""COMPUTED_VALUE"""),"Linde Plc")</f>
        <v>Linde Plc</v>
      </c>
      <c r="B53" s="9" t="str">
        <f ca="1">IFERROR(__xludf.DUMMYFUNCTION("""COMPUTED_VALUE"""),"LIN")</f>
        <v>LIN</v>
      </c>
      <c r="C53" s="10" t="s">
        <v>309</v>
      </c>
      <c r="D53" s="11">
        <v>285.38</v>
      </c>
      <c r="E53" s="12">
        <v>1.48573831382717E-2</v>
      </c>
      <c r="F53" s="13" t="str">
        <f t="shared" ca="1" si="0"/>
        <v>Voir le cours</v>
      </c>
    </row>
    <row r="54" spans="1:6" ht="15.45" x14ac:dyDescent="0.4">
      <c r="A54" s="8" t="str">
        <f ca="1">IFERROR(__xludf.DUMMYFUNCTION("""COMPUTED_VALUE"""),"A.O. Smith Corp.")</f>
        <v>A.O. Smith Corp.</v>
      </c>
      <c r="B54" s="9" t="str">
        <f ca="1">IFERROR(__xludf.DUMMYFUNCTION("""COMPUTED_VALUE"""),"AOS")</f>
        <v>AOS</v>
      </c>
      <c r="C54" s="10" t="s">
        <v>338</v>
      </c>
      <c r="D54" s="11">
        <v>71.11</v>
      </c>
      <c r="E54" s="12">
        <v>1.46252285191956E-2</v>
      </c>
      <c r="F54" s="13" t="str">
        <f t="shared" ca="1" si="0"/>
        <v>Voir le cours</v>
      </c>
    </row>
    <row r="55" spans="1:6" ht="15.45" x14ac:dyDescent="0.4">
      <c r="A55" s="8" t="str">
        <f ca="1">IFERROR(__xludf.DUMMYFUNCTION("""COMPUTED_VALUE"""),"Target Corp")</f>
        <v>Target Corp</v>
      </c>
      <c r="B55" s="9" t="str">
        <f ca="1">IFERROR(__xludf.DUMMYFUNCTION("""COMPUTED_VALUE"""),"TGT")</f>
        <v>TGT</v>
      </c>
      <c r="C55" s="10" t="s">
        <v>339</v>
      </c>
      <c r="D55" s="11">
        <v>246.24</v>
      </c>
      <c r="E55" s="12">
        <v>1.4619883040935601E-2</v>
      </c>
      <c r="F55" s="13" t="str">
        <f t="shared" ca="1" si="0"/>
        <v>Voir le cours</v>
      </c>
    </row>
    <row r="56" spans="1:6" ht="15.45" x14ac:dyDescent="0.4">
      <c r="A56" s="8" t="str">
        <f ca="1">IFERROR(__xludf.DUMMYFUNCTION("""COMPUTED_VALUE"""),"W.W. Grainger Inc.")</f>
        <v>W.W. Grainger Inc.</v>
      </c>
      <c r="B56" s="9" t="str">
        <f ca="1">IFERROR(__xludf.DUMMYFUNCTION("""COMPUTED_VALUE"""),"GWW")</f>
        <v>GWW</v>
      </c>
      <c r="C56" s="10" t="s">
        <v>340</v>
      </c>
      <c r="D56" s="11">
        <v>449.08</v>
      </c>
      <c r="E56" s="12">
        <v>1.4429500311748399E-2</v>
      </c>
      <c r="F56" s="13" t="str">
        <f t="shared" ca="1" si="0"/>
        <v>Voir le cours</v>
      </c>
    </row>
    <row r="57" spans="1:6" ht="15.45" x14ac:dyDescent="0.4">
      <c r="A57" s="8" t="str">
        <f ca="1">IFERROR(__xludf.DUMMYFUNCTION("""COMPUTED_VALUE"""),"Stanley Black &amp; Decker Inc")</f>
        <v>Stanley Black &amp; Decker Inc</v>
      </c>
      <c r="B57" s="9" t="str">
        <f ca="1">IFERROR(__xludf.DUMMYFUNCTION("""COMPUTED_VALUE"""),"SWK")</f>
        <v>SWK</v>
      </c>
      <c r="C57" s="10" t="s">
        <v>341</v>
      </c>
      <c r="D57" s="11">
        <v>205.38</v>
      </c>
      <c r="E57" s="12">
        <v>1.36332651670074E-2</v>
      </c>
      <c r="F57" s="13" t="str">
        <f t="shared" ca="1" si="0"/>
        <v>Voir le cours</v>
      </c>
    </row>
    <row r="58" spans="1:6" ht="15.45" x14ac:dyDescent="0.4">
      <c r="A58" s="8" t="str">
        <f ca="1">IFERROR(__xludf.DUMMYFUNCTION("""COMPUTED_VALUE"""),"Becton, Dickinson And Co.")</f>
        <v>Becton, Dickinson And Co.</v>
      </c>
      <c r="B58" s="9" t="str">
        <f ca="1">IFERROR(__xludf.DUMMYFUNCTION("""COMPUTED_VALUE"""),"BDX")</f>
        <v>BDX</v>
      </c>
      <c r="C58" s="10" t="s">
        <v>342</v>
      </c>
      <c r="D58" s="11">
        <v>249.68</v>
      </c>
      <c r="E58" s="12">
        <v>1.32970201858378E-2</v>
      </c>
      <c r="F58" s="13" t="str">
        <f t="shared" ca="1" si="0"/>
        <v>Voir le cours</v>
      </c>
    </row>
    <row r="59" spans="1:6" ht="15.45" x14ac:dyDescent="0.4">
      <c r="A59" s="8" t="str">
        <f ca="1">IFERROR(__xludf.DUMMYFUNCTION("""COMPUTED_VALUE"""),"Dover Corp.")</f>
        <v>Dover Corp.</v>
      </c>
      <c r="B59" s="9" t="str">
        <f ca="1">IFERROR(__xludf.DUMMYFUNCTION("""COMPUTED_VALUE"""),"DOV")</f>
        <v>DOV</v>
      </c>
      <c r="C59" s="10" t="s">
        <v>343</v>
      </c>
      <c r="D59" s="11">
        <v>151.27000000000001</v>
      </c>
      <c r="E59" s="12">
        <v>1.30891782904739E-2</v>
      </c>
      <c r="F59" s="13" t="str">
        <f t="shared" ca="1" si="0"/>
        <v>Voir le cours</v>
      </c>
    </row>
    <row r="60" spans="1:6" ht="15.45" x14ac:dyDescent="0.4">
      <c r="A60" s="8" t="str">
        <f ca="1">IFERROR(__xludf.DUMMYFUNCTION("""COMPUTED_VALUE"""),"PPG Industries, Inc.")</f>
        <v>PPG Industries, Inc.</v>
      </c>
      <c r="B60" s="9" t="str">
        <f ca="1">IFERROR(__xludf.DUMMYFUNCTION("""COMPUTED_VALUE"""),"PPG")</f>
        <v>PPG</v>
      </c>
      <c r="C60" s="10" t="s">
        <v>344</v>
      </c>
      <c r="D60" s="11">
        <v>169.65</v>
      </c>
      <c r="E60" s="12">
        <v>1.27320954907161E-2</v>
      </c>
      <c r="F60" s="13" t="str">
        <f t="shared" ca="1" si="0"/>
        <v>Voir le cours</v>
      </c>
    </row>
    <row r="61" spans="1:6" ht="15.45" x14ac:dyDescent="0.4">
      <c r="A61" s="8" t="str">
        <f ca="1">IFERROR(__xludf.DUMMYFUNCTION("""COMPUTED_VALUE"""),"Pentair plc")</f>
        <v>Pentair plc</v>
      </c>
      <c r="B61" s="9" t="str">
        <f ca="1">IFERROR(__xludf.DUMMYFUNCTION("""COMPUTED_VALUE"""),"PNR")</f>
        <v>PNR</v>
      </c>
      <c r="C61" s="10" t="s">
        <v>345</v>
      </c>
      <c r="D61" s="11">
        <v>68.290000000000006</v>
      </c>
      <c r="E61" s="12">
        <v>1.17147459364475E-2</v>
      </c>
      <c r="F61" s="13" t="str">
        <f t="shared" ca="1" si="0"/>
        <v>Voir le cours</v>
      </c>
    </row>
    <row r="62" spans="1:6" ht="15.45" x14ac:dyDescent="0.4">
      <c r="A62" s="8" t="str">
        <f ca="1">IFERROR(__xludf.DUMMYFUNCTION("""COMPUTED_VALUE"""),"Brown-Forman Corp.")</f>
        <v>Brown-Forman Corp.</v>
      </c>
      <c r="B62" s="9" t="str">
        <f ca="1">IFERROR(__xludf.DUMMYFUNCTION("""COMPUTED_VALUE"""),"BF.B")</f>
        <v>BF.B</v>
      </c>
      <c r="C62" s="10" t="s">
        <v>346</v>
      </c>
      <c r="D62" s="11">
        <v>73.8</v>
      </c>
      <c r="E62" s="12">
        <v>9.7560975609756097E-3</v>
      </c>
      <c r="F62" s="13" t="str">
        <f t="shared" ca="1" si="0"/>
        <v>Voir le cours</v>
      </c>
    </row>
    <row r="63" spans="1:6" ht="15.45" x14ac:dyDescent="0.4">
      <c r="A63" s="8" t="str">
        <f ca="1">IFERROR(__xludf.DUMMYFUNCTION("""COMPUTED_VALUE"""),"Albemarle Corp.")</f>
        <v>Albemarle Corp.</v>
      </c>
      <c r="B63" s="9" t="str">
        <f ca="1">IFERROR(__xludf.DUMMYFUNCTION("""COMPUTED_VALUE"""),"ALB")</f>
        <v>ALB</v>
      </c>
      <c r="C63" s="10" t="s">
        <v>347</v>
      </c>
      <c r="D63" s="11">
        <v>165.38</v>
      </c>
      <c r="E63" s="12">
        <v>9.4328213810617907E-3</v>
      </c>
      <c r="F63" s="13" t="str">
        <f t="shared" ca="1" si="0"/>
        <v>Voir le cours</v>
      </c>
    </row>
    <row r="64" spans="1:6" ht="15.45" x14ac:dyDescent="0.4">
      <c r="A64" s="8" t="str">
        <f ca="1">IFERROR(__xludf.DUMMYFUNCTION("""COMPUTED_VALUE"""),"Ecolab, Inc.")</f>
        <v>Ecolab, Inc.</v>
      </c>
      <c r="B64" s="9" t="str">
        <f ca="1">IFERROR(__xludf.DUMMYFUNCTION("""COMPUTED_VALUE"""),"ECL")</f>
        <v>ECL</v>
      </c>
      <c r="C64" s="10" t="s">
        <v>348</v>
      </c>
      <c r="D64" s="11">
        <v>209.05</v>
      </c>
      <c r="E64" s="12">
        <v>9.18440564458263E-3</v>
      </c>
      <c r="F64" s="13" t="str">
        <f t="shared" ca="1" si="0"/>
        <v>Voir le cours</v>
      </c>
    </row>
    <row r="65" spans="1:6" ht="15.45" x14ac:dyDescent="0.4">
      <c r="A65" s="8" t="str">
        <f ca="1">IFERROR(__xludf.DUMMYFUNCTION("""COMPUTED_VALUE"""),"Expeditors International Of Washington, Inc.")</f>
        <v>Expeditors International Of Washington, Inc.</v>
      </c>
      <c r="B65" s="9" t="str">
        <f ca="1">IFERROR(__xludf.DUMMYFUNCTION("""COMPUTED_VALUE"""),"EXPD")</f>
        <v>EXPD</v>
      </c>
      <c r="C65" s="10" t="s">
        <v>349</v>
      </c>
      <c r="D65" s="11">
        <v>126.81</v>
      </c>
      <c r="E65" s="12">
        <v>9.1475435691191504E-3</v>
      </c>
      <c r="F65" s="13" t="str">
        <f t="shared" ca="1" si="0"/>
        <v>Voir le cours</v>
      </c>
    </row>
    <row r="66" spans="1:6" ht="15.45" x14ac:dyDescent="0.4">
      <c r="A66" s="8" t="str">
        <f ca="1">IFERROR(__xludf.DUMMYFUNCTION("""COMPUTED_VALUE"""),"Sherwin-Williams Co.")</f>
        <v>Sherwin-Williams Co.</v>
      </c>
      <c r="B66" s="9" t="str">
        <f ca="1">IFERROR(__xludf.DUMMYFUNCTION("""COMPUTED_VALUE"""),"SHW")</f>
        <v>SHW</v>
      </c>
      <c r="C66" s="10" t="s">
        <v>336</v>
      </c>
      <c r="D66" s="11">
        <v>273.3</v>
      </c>
      <c r="E66" s="12">
        <v>8.0497621661178194E-3</v>
      </c>
      <c r="F66" s="13" t="str">
        <f t="shared" ca="1" si="0"/>
        <v>Voir le cours</v>
      </c>
    </row>
    <row r="67" spans="1:6" ht="15.45" x14ac:dyDescent="0.4">
      <c r="A67" s="8" t="str">
        <f ca="1">IFERROR(__xludf.DUMMYFUNCTION("""COMPUTED_VALUE"""),"Cintas Corporation")</f>
        <v>Cintas Corporation</v>
      </c>
      <c r="B67" s="9" t="str">
        <f ca="1">IFERROR(__xludf.DUMMYFUNCTION("""COMPUTED_VALUE"""),"CTAS")</f>
        <v>CTAS</v>
      </c>
      <c r="C67" s="10" t="s">
        <v>350</v>
      </c>
      <c r="D67" s="11">
        <v>387.31</v>
      </c>
      <c r="E67" s="12">
        <v>7.7457333918566499E-3</v>
      </c>
      <c r="F67" s="13" t="str">
        <f t="shared" ca="1" si="0"/>
        <v>Voir le cours</v>
      </c>
    </row>
    <row r="68" spans="1:6" ht="15.45" x14ac:dyDescent="0.4">
      <c r="A68" s="8" t="str">
        <f ca="1">IFERROR(__xludf.DUMMYFUNCTION("""COMPUTED_VALUE"""),"S&amp;P Global Inc")</f>
        <v>S&amp;P Global Inc</v>
      </c>
      <c r="B68" s="9" t="str">
        <f ca="1">IFERROR(__xludf.DUMMYFUNCTION("""COMPUTED_VALUE"""),"SPGI")</f>
        <v>SPGI</v>
      </c>
      <c r="C68" s="10" t="s">
        <v>351</v>
      </c>
      <c r="D68" s="11">
        <v>416.27</v>
      </c>
      <c r="E68" s="12">
        <v>7.3990438897830703E-3</v>
      </c>
      <c r="F68" s="13" t="str">
        <f t="shared" ca="1" si="0"/>
        <v>Voir le cours</v>
      </c>
    </row>
    <row r="69" spans="1:6" ht="15.45" x14ac:dyDescent="0.4">
      <c r="A69" s="8" t="str">
        <f ca="1">IFERROR(__xludf.DUMMYFUNCTION("""COMPUTED_VALUE"""),"Roper Technologies Inc")</f>
        <v>Roper Technologies Inc</v>
      </c>
      <c r="B69" s="9" t="str">
        <f ca="1">IFERROR(__xludf.DUMMYFUNCTION("""COMPUTED_VALUE"""),"ROP")</f>
        <v>ROP</v>
      </c>
      <c r="C69" s="10" t="s">
        <v>352</v>
      </c>
      <c r="D69" s="11">
        <v>473.69</v>
      </c>
      <c r="E69" s="12">
        <v>4.7499419451539999E-3</v>
      </c>
      <c r="F69" s="13" t="str">
        <f t="shared" ca="1" si="0"/>
        <v>Voir le cours</v>
      </c>
    </row>
    <row r="70" spans="1:6" ht="15.45" x14ac:dyDescent="0.4">
      <c r="A70" s="8" t="str">
        <f ca="1">IFERROR(__xludf.DUMMYFUNCTION("""COMPUTED_VALUE"""),"West Pharmaceutical Services, Inc.")</f>
        <v>West Pharmaceutical Services, Inc.</v>
      </c>
      <c r="B70" s="9" t="str">
        <f ca="1">IFERROR(__xludf.DUMMYFUNCTION("""COMPUTED_VALUE"""),"WST")</f>
        <v>WST</v>
      </c>
      <c r="C70" s="10" t="s">
        <v>353</v>
      </c>
      <c r="D70" s="11">
        <v>368.21</v>
      </c>
      <c r="E70" s="12">
        <v>1.8467722223731E-3</v>
      </c>
      <c r="F70" s="13" t="str">
        <f t="shared" ca="1" si="0"/>
        <v>Voir le cours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69"/>
  <sheetViews>
    <sheetView showGridLines="0" workbookViewId="0"/>
  </sheetViews>
  <sheetFormatPr baseColWidth="10" defaultColWidth="14.4609375" defaultRowHeight="15.75" customHeight="1" x14ac:dyDescent="0.3"/>
  <cols>
    <col min="1" max="1" width="41.53515625" customWidth="1"/>
    <col min="2" max="2" width="21.84375" customWidth="1"/>
    <col min="3" max="4" width="19.53515625" customWidth="1"/>
    <col min="5" max="5" width="17.84375" customWidth="1"/>
  </cols>
  <sheetData>
    <row r="1" spans="1:5" ht="15.75" customHeight="1" x14ac:dyDescent="0.7">
      <c r="A1" s="35" t="s">
        <v>0</v>
      </c>
      <c r="B1" s="36"/>
      <c r="C1" s="36"/>
      <c r="D1" s="36"/>
      <c r="E1" s="36"/>
    </row>
    <row r="2" spans="1:5" ht="15.75" customHeight="1" x14ac:dyDescent="0.7">
      <c r="A2" s="37" t="str">
        <f>HYPERLINK("https://revenusetdividendes.com/les-dividend-aristocrats-ou-le-meilleur-des-actions-a-dividendes/?utm_source=gsheet&amp;utm_medium=usdiva","RevenusetDividendes.com")</f>
        <v>RevenusetDividendes.com</v>
      </c>
      <c r="B2" s="36"/>
      <c r="C2" s="36"/>
      <c r="D2" s="36"/>
      <c r="E2" s="36"/>
    </row>
    <row r="3" spans="1:5" ht="15.75" customHeight="1" x14ac:dyDescent="0.3">
      <c r="A3" s="14" t="s">
        <v>2</v>
      </c>
      <c r="B3" s="15" t="s">
        <v>3</v>
      </c>
      <c r="C3" s="15" t="s">
        <v>8</v>
      </c>
      <c r="D3" s="15" t="s">
        <v>9</v>
      </c>
      <c r="E3" s="3" t="s">
        <v>7</v>
      </c>
    </row>
    <row r="4" spans="1:5" x14ac:dyDescent="0.4">
      <c r="A4" s="8" t="s">
        <v>10</v>
      </c>
      <c r="B4" s="16" t="s">
        <v>11</v>
      </c>
      <c r="C4" s="17">
        <f ca="1">IFERROR(__xludf.DUMMYFUNCTION("VLOOKUP(B4,importrange(""https://docs.google.com/spreadsheets/d/1AKZWfXIvdsysa6H7tpQ8n5q9RMW5Kpg9_h1lzi3Nh-g"",""WatchListe!B3:BE""),51,0)"),0.0296520423600605)</f>
        <v>2.9652042360060499E-2</v>
      </c>
      <c r="D4" s="10">
        <f ca="1">IFERROR(__xludf.DUMMYFUNCTION("GOOGLEFINANCE(B4)"),198.3)</f>
        <v>198.3</v>
      </c>
      <c r="E4" s="13" t="str">
        <f t="shared" ref="E4:E67" si="0">HYPERLINK(CONCATENATE("https://www.google.com/finance?q=",$B4),"Voir plus")</f>
        <v>Voir plus</v>
      </c>
    </row>
    <row r="5" spans="1:5" x14ac:dyDescent="0.4">
      <c r="A5" s="18" t="s">
        <v>12</v>
      </c>
      <c r="B5" s="16" t="s">
        <v>13</v>
      </c>
      <c r="C5" s="19" t="s">
        <v>14</v>
      </c>
      <c r="D5" s="10">
        <f ca="1">IFERROR(__xludf.DUMMYFUNCTION("GOOGLEFINANCE(B5)"),71.09)</f>
        <v>71.09</v>
      </c>
      <c r="E5" s="13" t="str">
        <f t="shared" si="0"/>
        <v>Voir plus</v>
      </c>
    </row>
    <row r="6" spans="1:5" x14ac:dyDescent="0.4">
      <c r="A6" s="8" t="s">
        <v>15</v>
      </c>
      <c r="B6" s="16" t="s">
        <v>16</v>
      </c>
      <c r="C6" s="19" t="s">
        <v>17</v>
      </c>
      <c r="D6" s="10">
        <f ca="1">IFERROR(__xludf.DUMMYFUNCTION("GOOGLEFINANCE(B6)"),118.2)</f>
        <v>118.2</v>
      </c>
      <c r="E6" s="13" t="str">
        <f t="shared" si="0"/>
        <v>Voir plus</v>
      </c>
    </row>
    <row r="7" spans="1:5" x14ac:dyDescent="0.4">
      <c r="A7" s="8" t="s">
        <v>18</v>
      </c>
      <c r="B7" s="16" t="s">
        <v>19</v>
      </c>
      <c r="C7" s="17">
        <f ca="1">IFERROR(__xludf.DUMMYFUNCTION("VLOOKUP(B7,importrange(""https://docs.google.com/spreadsheets/d/1AKZWfXIvdsysa6H7tpQ8n5q9RMW5Kpg9_h1lzi3Nh-g"",""WatchListe!B3:BE""),51,0)"),0.040675629093416)</f>
        <v>4.0675629093416002E-2</v>
      </c>
      <c r="D7" s="10">
        <f ca="1">IFERROR(__xludf.DUMMYFUNCTION("GOOGLEFINANCE(B7)"),116.06)</f>
        <v>116.06</v>
      </c>
      <c r="E7" s="13" t="str">
        <f t="shared" si="0"/>
        <v>Voir plus</v>
      </c>
    </row>
    <row r="8" spans="1:5" x14ac:dyDescent="0.4">
      <c r="A8" s="8" t="s">
        <v>20</v>
      </c>
      <c r="B8" s="16" t="s">
        <v>21</v>
      </c>
      <c r="C8" s="17">
        <f ca="1">IFERROR(__xludf.DUMMYFUNCTION("VLOOKUP(B8,importrange(""https://docs.google.com/spreadsheets/d/1AKZWfXIvdsysa6H7tpQ8n5q9RMW5Kpg9_h1lzi3Nh-g"",""WatchListe!B3:BE""),51,0)"),0.0212322274881516)</f>
        <v>2.1232227488151598E-2</v>
      </c>
      <c r="D8" s="10">
        <f ca="1">IFERROR(__xludf.DUMMYFUNCTION("GOOGLEFINANCE(B8)"),52.75)</f>
        <v>52.75</v>
      </c>
      <c r="E8" s="13" t="str">
        <f t="shared" si="0"/>
        <v>Voir plus</v>
      </c>
    </row>
    <row r="9" spans="1:5" x14ac:dyDescent="0.4">
      <c r="A9" s="8" t="s">
        <v>22</v>
      </c>
      <c r="B9" s="16" t="s">
        <v>23</v>
      </c>
      <c r="C9" s="17">
        <f ca="1">IFERROR(__xludf.DUMMYFUNCTION("VLOOKUP(B9,importrange(""https://docs.google.com/spreadsheets/d/1AKZWfXIvdsysa6H7tpQ8n5q9RMW5Kpg9_h1lzi3Nh-g"",""WatchListe!B3:BE""),51,0)"),0.0188500087919817)</f>
        <v>1.88500087919817E-2</v>
      </c>
      <c r="D9" s="10">
        <f ca="1">IFERROR(__xludf.DUMMYFUNCTION("GOOGLEFINANCE(B9)"),285.58)</f>
        <v>285.58</v>
      </c>
      <c r="E9" s="13" t="str">
        <f t="shared" si="0"/>
        <v>Voir plus</v>
      </c>
    </row>
    <row r="10" spans="1:5" x14ac:dyDescent="0.4">
      <c r="A10" s="8" t="s">
        <v>24</v>
      </c>
      <c r="B10" s="16" t="s">
        <v>25</v>
      </c>
      <c r="C10" s="19" t="s">
        <v>26</v>
      </c>
      <c r="D10" s="10">
        <f ca="1">IFERROR(__xludf.DUMMYFUNCTION("GOOGLEFINANCE(B10)"),166.4)</f>
        <v>166.4</v>
      </c>
      <c r="E10" s="13" t="str">
        <f t="shared" si="0"/>
        <v>Voir plus</v>
      </c>
    </row>
    <row r="11" spans="1:5" x14ac:dyDescent="0.4">
      <c r="A11" s="8" t="s">
        <v>27</v>
      </c>
      <c r="B11" s="16" t="s">
        <v>28</v>
      </c>
      <c r="C11" s="19" t="s">
        <v>29</v>
      </c>
      <c r="D11" s="10">
        <f ca="1">IFERROR(__xludf.DUMMYFUNCTION("GOOGLEFINANCE(B11)"),11.45)</f>
        <v>11.45</v>
      </c>
      <c r="E11" s="13" t="str">
        <f t="shared" si="0"/>
        <v>Voir plus</v>
      </c>
    </row>
    <row r="12" spans="1:5" x14ac:dyDescent="0.4">
      <c r="A12" s="8" t="s">
        <v>30</v>
      </c>
      <c r="B12" s="16" t="s">
        <v>31</v>
      </c>
      <c r="C12" s="17">
        <f ca="1">IFERROR(__xludf.DUMMYFUNCTION("VLOOKUP(B12,importrange(""https://docs.google.com/spreadsheets/d/1AKZWfXIvdsysa6H7tpQ8n5q9RMW5Kpg9_h1lzi3Nh-g"",""WatchListe!B3:BE""),51,0)"),0.0242465061458157)</f>
        <v>2.4246506145815701E-2</v>
      </c>
      <c r="D12" s="10">
        <f ca="1">IFERROR(__xludf.DUMMYFUNCTION("GOOGLEFINANCE(B12)"),59.41)</f>
        <v>59.41</v>
      </c>
      <c r="E12" s="13" t="str">
        <f t="shared" si="0"/>
        <v>Voir plus</v>
      </c>
    </row>
    <row r="13" spans="1:5" x14ac:dyDescent="0.4">
      <c r="A13" s="8" t="s">
        <v>32</v>
      </c>
      <c r="B13" s="16" t="s">
        <v>33</v>
      </c>
      <c r="C13" s="17">
        <f ca="1">IFERROR(__xludf.DUMMYFUNCTION("VLOOKUP(B13,importrange(""https://docs.google.com/spreadsheets/d/1AKZWfXIvdsysa6H7tpQ8n5q9RMW5Kpg9_h1lzi3Nh-g"",""WatchListe!B3:BE""),51,0)"),0.0737588652482269)</f>
        <v>7.3758865248226904E-2</v>
      </c>
      <c r="D13" s="10">
        <f ca="1">IFERROR(__xludf.DUMMYFUNCTION("GOOGLEFINANCE(B13)"),28.2)</f>
        <v>28.2</v>
      </c>
      <c r="E13" s="13" t="str">
        <f t="shared" si="0"/>
        <v>Voir plus</v>
      </c>
    </row>
    <row r="14" spans="1:5" x14ac:dyDescent="0.4">
      <c r="A14" s="8" t="s">
        <v>34</v>
      </c>
      <c r="B14" s="16" t="s">
        <v>35</v>
      </c>
      <c r="C14" s="19" t="s">
        <v>36</v>
      </c>
      <c r="D14" s="10">
        <f ca="1">IFERROR(__xludf.DUMMYFUNCTION("GOOGLEFINANCE(B14)"),98.08)</f>
        <v>98.08</v>
      </c>
      <c r="E14" s="13" t="str">
        <f t="shared" si="0"/>
        <v>Voir plus</v>
      </c>
    </row>
    <row r="15" spans="1:5" x14ac:dyDescent="0.4">
      <c r="A15" s="8" t="s">
        <v>37</v>
      </c>
      <c r="B15" s="16" t="s">
        <v>38</v>
      </c>
      <c r="C15" s="17">
        <f ca="1">IFERROR(__xludf.DUMMYFUNCTION("VLOOKUP(B15,importrange(""https://docs.google.com/spreadsheets/d/1AKZWfXIvdsysa6H7tpQ8n5q9RMW5Kpg9_h1lzi3Nh-g"",""WatchListe!B3:BE""),51,0)"),0.0181430625092946)</f>
        <v>1.8143062509294601E-2</v>
      </c>
      <c r="D15" s="10">
        <f ca="1">IFERROR(__xludf.DUMMYFUNCTION("GOOGLEFINANCE(B15)"),201.71)</f>
        <v>201.71</v>
      </c>
      <c r="E15" s="13" t="str">
        <f t="shared" si="0"/>
        <v>Voir plus</v>
      </c>
    </row>
    <row r="16" spans="1:5" x14ac:dyDescent="0.4">
      <c r="A16" s="8" t="s">
        <v>39</v>
      </c>
      <c r="B16" s="16" t="s">
        <v>40</v>
      </c>
      <c r="C16" s="19" t="s">
        <v>41</v>
      </c>
      <c r="D16" s="10">
        <f ca="1">IFERROR(__xludf.DUMMYFUNCTION("GOOGLEFINANCE(B16)"),249.45)</f>
        <v>249.45</v>
      </c>
      <c r="E16" s="13" t="str">
        <f t="shared" si="0"/>
        <v>Voir plus</v>
      </c>
    </row>
    <row r="17" spans="1:5" x14ac:dyDescent="0.4">
      <c r="A17" s="8" t="s">
        <v>42</v>
      </c>
      <c r="B17" s="16" t="s">
        <v>43</v>
      </c>
      <c r="C17" s="19" t="s">
        <v>44</v>
      </c>
      <c r="D17" s="10">
        <f ca="1">IFERROR(__xludf.DUMMYFUNCTION("GOOGLEFINANCE(B17)"),73.73)</f>
        <v>73.73</v>
      </c>
      <c r="E17" s="13" t="str">
        <f t="shared" si="0"/>
        <v>Voir plus</v>
      </c>
    </row>
    <row r="18" spans="1:5" x14ac:dyDescent="0.4">
      <c r="A18" s="8" t="s">
        <v>45</v>
      </c>
      <c r="B18" s="16" t="s">
        <v>46</v>
      </c>
      <c r="C18" s="17">
        <f ca="1">IFERROR(__xludf.DUMMYFUNCTION("VLOOKUP(B18,importrange(""https://docs.google.com/spreadsheets/d/1AKZWfXIvdsysa6H7tpQ8n5q9RMW5Kpg9_h1lzi3Nh-g"",""WatchListe!B3:BE""),51,0)"),0.034308971863387)</f>
        <v>3.4308971863387001E-2</v>
      </c>
      <c r="D18" s="10">
        <f ca="1">IFERROR(__xludf.DUMMYFUNCTION("GOOGLEFINANCE(B18)"),56.51)</f>
        <v>56.51</v>
      </c>
      <c r="E18" s="13" t="str">
        <f t="shared" si="0"/>
        <v>Voir plus</v>
      </c>
    </row>
    <row r="19" spans="1:5" x14ac:dyDescent="0.4">
      <c r="A19" s="18" t="s">
        <v>47</v>
      </c>
      <c r="B19" s="16" t="s">
        <v>48</v>
      </c>
      <c r="C19" s="17">
        <f ca="1">IFERROR(__xludf.DUMMYFUNCTION("VLOOKUP(B19,importrange(""https://docs.google.com/spreadsheets/d/1AKZWfXIvdsysa6H7tpQ8n5q9RMW5Kpg9_h1lzi3Nh-g"",""WatchListe!B3:BE""),51,0)"),0.0193254843097706)</f>
        <v>1.9325484309770598E-2</v>
      </c>
      <c r="D19" s="10">
        <f ca="1">IFERROR(__xludf.DUMMYFUNCTION("GOOGLEFINANCE(B19)"),212.99)</f>
        <v>212.99</v>
      </c>
      <c r="E19" s="13" t="str">
        <f t="shared" si="0"/>
        <v>Voir plus</v>
      </c>
    </row>
    <row r="20" spans="1:5" x14ac:dyDescent="0.4">
      <c r="A20" s="8" t="s">
        <v>49</v>
      </c>
      <c r="B20" s="16" t="s">
        <v>50</v>
      </c>
      <c r="C20" s="17">
        <f ca="1">IFERROR(__xludf.DUMMYFUNCTION("VLOOKUP(B20,importrange(""https://docs.google.com/spreadsheets/d/1AKZWfXIvdsysa6H7tpQ8n5q9RMW5Kpg9_h1lzi3Nh-g"",""WatchListe!B3:BE""),51,0)"),0.0502630040911747)</f>
        <v>5.02630040911747E-2</v>
      </c>
      <c r="D20" s="10">
        <f ca="1">IFERROR(__xludf.DUMMYFUNCTION("GOOGLEFINANCE(B20)"),102.77)</f>
        <v>102.77</v>
      </c>
      <c r="E20" s="13" t="str">
        <f t="shared" si="0"/>
        <v>Voir plus</v>
      </c>
    </row>
    <row r="21" spans="1:5" x14ac:dyDescent="0.4">
      <c r="A21" s="18" t="s">
        <v>51</v>
      </c>
      <c r="B21" s="16" t="s">
        <v>52</v>
      </c>
      <c r="C21" s="19" t="s">
        <v>53</v>
      </c>
      <c r="D21" s="10">
        <f ca="1">IFERROR(__xludf.DUMMYFUNCTION("GOOGLEFINANCE(B21)"),159.17)</f>
        <v>159.16999999999999</v>
      </c>
      <c r="E21" s="13" t="str">
        <f t="shared" si="0"/>
        <v>Voir plus</v>
      </c>
    </row>
    <row r="22" spans="1:5" x14ac:dyDescent="0.4">
      <c r="A22" s="8" t="s">
        <v>54</v>
      </c>
      <c r="B22" s="16" t="s">
        <v>55</v>
      </c>
      <c r="C22" s="17">
        <f ca="1">IFERROR(__xludf.DUMMYFUNCTION("VLOOKUP(B22,importrange(""https://docs.google.com/spreadsheets/d/1AKZWfXIvdsysa6H7tpQ8n5q9RMW5Kpg9_h1lzi3Nh-g"",""WatchListe!B3:BE""),51,0)"),0.0195633187772925)</f>
        <v>1.9563318777292501E-2</v>
      </c>
      <c r="D22" s="10">
        <f ca="1">IFERROR(__xludf.DUMMYFUNCTION("GOOGLEFINANCE(B22)"),114.42)</f>
        <v>114.42</v>
      </c>
      <c r="E22" s="13" t="str">
        <f t="shared" si="0"/>
        <v>Voir plus</v>
      </c>
    </row>
    <row r="23" spans="1:5" x14ac:dyDescent="0.4">
      <c r="A23" s="8" t="s">
        <v>56</v>
      </c>
      <c r="B23" s="16" t="s">
        <v>57</v>
      </c>
      <c r="C23" s="19" t="s">
        <v>58</v>
      </c>
      <c r="D23" s="10">
        <f ca="1">IFERROR(__xludf.DUMMYFUNCTION("GOOGLEFINANCE(B23)"),387.82)</f>
        <v>387.82</v>
      </c>
      <c r="E23" s="13" t="str">
        <f t="shared" si="0"/>
        <v>Voir plus</v>
      </c>
    </row>
    <row r="24" spans="1:5" x14ac:dyDescent="0.4">
      <c r="A24" s="8" t="s">
        <v>59</v>
      </c>
      <c r="B24" s="16" t="s">
        <v>60</v>
      </c>
      <c r="C24" s="17">
        <f ca="1">IFERROR(__xludf.DUMMYFUNCTION("VLOOKUP(B24,importrange(""https://docs.google.com/spreadsheets/d/1AKZWfXIvdsysa6H7tpQ8n5q9RMW5Kpg9_h1lzi3Nh-g"",""WatchListe!B3:BE""),51,0)"),0.023680907950019)</f>
        <v>2.3680907950018999E-2</v>
      </c>
      <c r="D24" s="10">
        <f ca="1">IFERROR(__xludf.DUMMYFUNCTION("GOOGLEFINANCE(B24)"),183.27)</f>
        <v>183.27</v>
      </c>
      <c r="E24" s="13" t="str">
        <f t="shared" si="0"/>
        <v>Voir plus</v>
      </c>
    </row>
    <row r="25" spans="1:5" x14ac:dyDescent="0.4">
      <c r="A25" s="8" t="s">
        <v>61</v>
      </c>
      <c r="B25" s="16" t="s">
        <v>62</v>
      </c>
      <c r="C25" s="17">
        <f ca="1">IFERROR(__xludf.DUMMYFUNCTION("VLOOKUP(B25,importrange(""https://docs.google.com/spreadsheets/d/1AKZWfXIvdsysa6H7tpQ8n5q9RMW5Kpg9_h1lzi3Nh-g"",""WatchListe!B3:BE""),51,0)"),0.0304097904691266)</f>
        <v>3.0409790469126601E-2</v>
      </c>
      <c r="D25" s="10">
        <f ca="1">IFERROR(__xludf.DUMMYFUNCTION("GOOGLEFINANCE(B25)"),53.96)</f>
        <v>53.96</v>
      </c>
      <c r="E25" s="13" t="str">
        <f t="shared" si="0"/>
        <v>Voir plus</v>
      </c>
    </row>
    <row r="26" spans="1:5" x14ac:dyDescent="0.4">
      <c r="A26" s="8" t="s">
        <v>63</v>
      </c>
      <c r="B26" s="16" t="s">
        <v>64</v>
      </c>
      <c r="C26" s="17">
        <f ca="1">IFERROR(__xludf.DUMMYFUNCTION("VLOOKUP(B26,importrange(""https://docs.google.com/spreadsheets/d/1AKZWfXIvdsysa6H7tpQ8n5q9RMW5Kpg9_h1lzi3Nh-g"",""WatchListe!B3:BE""),51,0)"),0.0212843590367307)</f>
        <v>2.1284359036730701E-2</v>
      </c>
      <c r="D26" s="10">
        <f ca="1">IFERROR(__xludf.DUMMYFUNCTION("GOOGLEFINANCE(B26)"),82.22)</f>
        <v>82.22</v>
      </c>
      <c r="E26" s="13" t="str">
        <f t="shared" si="0"/>
        <v>Voir plus</v>
      </c>
    </row>
    <row r="27" spans="1:5" ht="15.45" x14ac:dyDescent="0.4">
      <c r="A27" s="8" t="s">
        <v>65</v>
      </c>
      <c r="B27" s="16" t="s">
        <v>66</v>
      </c>
      <c r="C27" s="17">
        <f ca="1">IFERROR(__xludf.DUMMYFUNCTION("VLOOKUP(B27,importrange(""https://docs.google.com/spreadsheets/d/1AKZWfXIvdsysa6H7tpQ8n5q9RMW5Kpg9_h1lzi3Nh-g"",""WatchListe!B3:BE""),51,0)"),0.0414577970464706)</f>
        <v>4.1457797046470603E-2</v>
      </c>
      <c r="D27" s="10">
        <f ca="1">IFERROR(__xludf.DUMMYFUNCTION("GOOGLEFINANCE(B27)"),73.7)</f>
        <v>73.7</v>
      </c>
      <c r="E27" s="13" t="str">
        <f t="shared" si="0"/>
        <v>Voir plus</v>
      </c>
    </row>
    <row r="28" spans="1:5" ht="15.45" x14ac:dyDescent="0.4">
      <c r="A28" s="8" t="s">
        <v>67</v>
      </c>
      <c r="B28" s="16" t="s">
        <v>68</v>
      </c>
      <c r="C28" s="17">
        <f ca="1">IFERROR(__xludf.DUMMYFUNCTION("VLOOKUP(B28,importrange(""https://docs.google.com/spreadsheets/d/1AKZWfXIvdsysa6H7tpQ8n5q9RMW5Kpg9_h1lzi3Nh-g"",""WatchListe!B3:BE""),51,0)"),0.0130230713294109)</f>
        <v>1.30230713294109E-2</v>
      </c>
      <c r="D28" s="10">
        <f ca="1">IFERROR(__xludf.DUMMYFUNCTION("GOOGLEFINANCE(B28)"),150.77)</f>
        <v>150.77000000000001</v>
      </c>
      <c r="E28" s="13" t="str">
        <f t="shared" si="0"/>
        <v>Voir plus</v>
      </c>
    </row>
    <row r="29" spans="1:5" ht="15.45" x14ac:dyDescent="0.4">
      <c r="A29" s="8" t="s">
        <v>69</v>
      </c>
      <c r="B29" s="16" t="s">
        <v>70</v>
      </c>
      <c r="C29" s="19" t="s">
        <v>71</v>
      </c>
      <c r="D29" s="10">
        <f ca="1">IFERROR(__xludf.DUMMYFUNCTION("GOOGLEFINANCE(B29)"),209.05)</f>
        <v>209.05</v>
      </c>
      <c r="E29" s="13" t="str">
        <f t="shared" si="0"/>
        <v>Voir plus</v>
      </c>
    </row>
    <row r="30" spans="1:5" ht="15.45" x14ac:dyDescent="0.4">
      <c r="A30" s="8" t="s">
        <v>72</v>
      </c>
      <c r="B30" s="16" t="s">
        <v>73</v>
      </c>
      <c r="C30" s="17">
        <f ca="1">IFERROR(__xludf.DUMMYFUNCTION("VLOOKUP(B30,importrange(""https://docs.google.com/spreadsheets/d/1AKZWfXIvdsysa6H7tpQ8n5q9RMW5Kpg9_h1lzi3Nh-g"",""WatchListe!B3:BE""),51,0)"),0.0209093753258942)</f>
        <v>2.0909375325894201E-2</v>
      </c>
      <c r="D30" s="10">
        <f ca="1">IFERROR(__xludf.DUMMYFUNCTION("GOOGLEFINANCE(B30)"),95.89)</f>
        <v>95.89</v>
      </c>
      <c r="E30" s="13" t="str">
        <f t="shared" si="0"/>
        <v>Voir plus</v>
      </c>
    </row>
    <row r="31" spans="1:5" ht="15.45" x14ac:dyDescent="0.4">
      <c r="A31" s="8" t="s">
        <v>74</v>
      </c>
      <c r="B31" s="16" t="s">
        <v>75</v>
      </c>
      <c r="C31" s="17">
        <f ca="1">IFERROR(__xludf.DUMMYFUNCTION("VLOOKUP(B31,importrange(""https://docs.google.com/spreadsheets/d/1AKZWfXIvdsysa6H7tpQ8n5q9RMW5Kpg9_h1lzi3Nh-g"",""WatchListe!B3:BE""),51,0)"),0.0265851941902872)</f>
        <v>2.6585194190287199E-2</v>
      </c>
      <c r="D31" s="10">
        <f ca="1">IFERROR(__xludf.DUMMYFUNCTION("GOOGLEFINANCE(B31)"),312.17)</f>
        <v>312.17</v>
      </c>
      <c r="E31" s="13" t="str">
        <f t="shared" si="0"/>
        <v>Voir plus</v>
      </c>
    </row>
    <row r="32" spans="1:5" ht="15.45" x14ac:dyDescent="0.4">
      <c r="A32" s="8" t="s">
        <v>76</v>
      </c>
      <c r="B32" s="16" t="s">
        <v>77</v>
      </c>
      <c r="C32" s="19" t="s">
        <v>78</v>
      </c>
      <c r="D32" s="10">
        <f ca="1">IFERROR(__xludf.DUMMYFUNCTION("GOOGLEFINANCE(B32)"),126.81)</f>
        <v>126.81</v>
      </c>
      <c r="E32" s="13" t="str">
        <f t="shared" si="0"/>
        <v>Voir plus</v>
      </c>
    </row>
    <row r="33" spans="1:5" ht="15.45" x14ac:dyDescent="0.4">
      <c r="A33" s="8" t="s">
        <v>79</v>
      </c>
      <c r="B33" s="16" t="s">
        <v>80</v>
      </c>
      <c r="C33" s="17">
        <f ca="1">IFERROR(__xludf.DUMMYFUNCTION("VLOOKUP(B33,importrange(""https://docs.google.com/spreadsheets/d/1AKZWfXIvdsysa6H7tpQ8n5q9RMW5Kpg9_h1lzi3Nh-g"",""WatchListe!B3:BE""),51,0)"),0.0575968222442899)</f>
        <v>5.75968222442899E-2</v>
      </c>
      <c r="D33" s="10">
        <f ca="1">IFERROR(__xludf.DUMMYFUNCTION("GOOGLEFINANCE(B33)"),60.45)</f>
        <v>60.45</v>
      </c>
      <c r="E33" s="13" t="str">
        <f t="shared" si="0"/>
        <v>Voir plus</v>
      </c>
    </row>
    <row r="34" spans="1:5" ht="15.45" x14ac:dyDescent="0.4">
      <c r="A34" s="8" t="s">
        <v>81</v>
      </c>
      <c r="B34" s="16" t="s">
        <v>82</v>
      </c>
      <c r="C34" s="17">
        <f ca="1">IFERROR(__xludf.DUMMYFUNCTION("VLOOKUP(B34,importrange(""https://docs.google.com/spreadsheets/d/1AKZWfXIvdsysa6H7tpQ8n5q9RMW5Kpg9_h1lzi3Nh-g"",""WatchListe!B3:BE""),51,0)"),0.0367531788886953)</f>
        <v>3.6753178888695302E-2</v>
      </c>
      <c r="D34" s="10">
        <f ca="1">IFERROR(__xludf.DUMMYFUNCTION("GOOGLEFINANCE(B34)"),114.82)</f>
        <v>114.82</v>
      </c>
      <c r="E34" s="13" t="str">
        <f t="shared" si="0"/>
        <v>Voir plus</v>
      </c>
    </row>
    <row r="35" spans="1:5" ht="15.45" x14ac:dyDescent="0.4">
      <c r="A35" s="8" t="s">
        <v>83</v>
      </c>
      <c r="B35" s="16" t="s">
        <v>84</v>
      </c>
      <c r="C35" s="19" t="s">
        <v>85</v>
      </c>
      <c r="D35" s="10">
        <f ca="1">IFERROR(__xludf.DUMMYFUNCTION("GOOGLEFINANCE(B35)"),31.37)</f>
        <v>31.37</v>
      </c>
      <c r="E35" s="13" t="str">
        <f t="shared" si="0"/>
        <v>Voir plus</v>
      </c>
    </row>
    <row r="36" spans="1:5" ht="15.45" x14ac:dyDescent="0.4">
      <c r="A36" s="8" t="s">
        <v>86</v>
      </c>
      <c r="B36" s="16" t="s">
        <v>87</v>
      </c>
      <c r="C36" s="17">
        <f ca="1">IFERROR(__xludf.DUMMYFUNCTION("VLOOKUP(B36,importrange(""https://docs.google.com/spreadsheets/d/1AKZWfXIvdsysa6H7tpQ8n5q9RMW5Kpg9_h1lzi3Nh-g"",""WatchListe!B3:BE""),51,0)"),0.0228934817170111)</f>
        <v>2.28934817170111E-2</v>
      </c>
      <c r="D36" s="10">
        <f ca="1">IFERROR(__xludf.DUMMYFUNCTION("GOOGLEFINANCE(B36)"),188.48)</f>
        <v>188.48</v>
      </c>
      <c r="E36" s="13" t="str">
        <f t="shared" si="0"/>
        <v>Voir plus</v>
      </c>
    </row>
    <row r="37" spans="1:5" ht="15.45" x14ac:dyDescent="0.4">
      <c r="A37" s="8" t="s">
        <v>88</v>
      </c>
      <c r="B37" s="16" t="s">
        <v>89</v>
      </c>
      <c r="C37" s="17">
        <f ca="1">IFERROR(__xludf.DUMMYFUNCTION("VLOOKUP(B37,importrange(""https://docs.google.com/spreadsheets/d/1AKZWfXIvdsysa6H7tpQ8n5q9RMW5Kpg9_h1lzi3Nh-g"",""WatchListe!B3:BE""),51,0)"),0.0248076621133615)</f>
        <v>2.4807662113361498E-2</v>
      </c>
      <c r="D37" s="10">
        <f ca="1">IFERROR(__xludf.DUMMYFUNCTION("GOOGLEFINANCE(B37)"),127.38)</f>
        <v>127.38</v>
      </c>
      <c r="E37" s="13" t="str">
        <f t="shared" si="0"/>
        <v>Voir plus</v>
      </c>
    </row>
    <row r="38" spans="1:5" ht="15.45" x14ac:dyDescent="0.4">
      <c r="A38" s="8" t="s">
        <v>90</v>
      </c>
      <c r="B38" s="16" t="s">
        <v>91</v>
      </c>
      <c r="C38" s="17">
        <f ca="1">IFERROR(__xludf.DUMMYFUNCTION("VLOOKUP(B38,importrange(""https://docs.google.com/spreadsheets/d/1AKZWfXIvdsysa6H7tpQ8n5q9RMW5Kpg9_h1lzi3Nh-g"",""WatchListe!B3:BE""),51,0)"),0.0193911592994161)</f>
        <v>1.9391159299416101E-2</v>
      </c>
      <c r="D38" s="10">
        <f ca="1">IFERROR(__xludf.DUMMYFUNCTION("GOOGLEFINANCE(B38)"),47.96)</f>
        <v>47.96</v>
      </c>
      <c r="E38" s="13" t="str">
        <f t="shared" si="0"/>
        <v>Voir plus</v>
      </c>
    </row>
    <row r="39" spans="1:5" ht="15.45" x14ac:dyDescent="0.4">
      <c r="A39" s="8" t="s">
        <v>92</v>
      </c>
      <c r="B39" s="16" t="s">
        <v>93</v>
      </c>
      <c r="C39" s="17">
        <f ca="1">IFERROR(__xludf.DUMMYFUNCTION("VLOOKUP(B39,importrange(""https://docs.google.com/spreadsheets/d/1AKZWfXIvdsysa6H7tpQ8n5q9RMW5Kpg9_h1lzi3Nh-g"",""WatchListe!B3:BE""),51,0)"),0.0197603719599427)</f>
        <v>1.9760371959942701E-2</v>
      </c>
      <c r="D39" s="10">
        <f ca="1">IFERROR(__xludf.DUMMYFUNCTION("GOOGLEFINANCE(B39)"),223.68)</f>
        <v>223.68</v>
      </c>
      <c r="E39" s="13" t="str">
        <f t="shared" si="0"/>
        <v>Voir plus</v>
      </c>
    </row>
    <row r="40" spans="1:5" ht="15.45" x14ac:dyDescent="0.4">
      <c r="A40" s="8" t="s">
        <v>94</v>
      </c>
      <c r="B40" s="16" t="s">
        <v>95</v>
      </c>
      <c r="C40" s="17">
        <f ca="1">IFERROR(__xludf.DUMMYFUNCTION("VLOOKUP(B40,importrange(""https://docs.google.com/spreadsheets/d/1AKZWfXIvdsysa6H7tpQ8n5q9RMW5Kpg9_h1lzi3Nh-g"",""WatchListe!B3:BE""),51,0)"),0.023710234719409)</f>
        <v>2.3710234719409001E-2</v>
      </c>
      <c r="D40" s="10">
        <f ca="1">IFERROR(__xludf.DUMMYFUNCTION("GOOGLEFINANCE(B40)"),167.86)</f>
        <v>167.86</v>
      </c>
      <c r="E40" s="13" t="str">
        <f t="shared" si="0"/>
        <v>Voir plus</v>
      </c>
    </row>
    <row r="41" spans="1:5" ht="15.45" x14ac:dyDescent="0.4">
      <c r="A41" s="8" t="s">
        <v>96</v>
      </c>
      <c r="B41" s="16" t="s">
        <v>97</v>
      </c>
      <c r="C41" s="17">
        <f ca="1">IFERROR(__xludf.DUMMYFUNCTION("VLOOKUP(B41,importrange(""https://docs.google.com/spreadsheets/d/1AKZWfXIvdsysa6H7tpQ8n5q9RMW5Kpg9_h1lzi3Nh-g"",""WatchListe!B3:BE""),51,0)"),0.0317366157496663)</f>
        <v>3.1736615749666297E-2</v>
      </c>
      <c r="D41" s="10">
        <f ca="1">IFERROR(__xludf.DUMMYFUNCTION("GOOGLEFINANCE(B41)"),134.93)</f>
        <v>134.93</v>
      </c>
      <c r="E41" s="13" t="str">
        <f t="shared" si="0"/>
        <v>Voir plus</v>
      </c>
    </row>
    <row r="42" spans="1:5" ht="15.45" x14ac:dyDescent="0.4">
      <c r="A42" s="8" t="s">
        <v>98</v>
      </c>
      <c r="B42" s="16" t="s">
        <v>99</v>
      </c>
      <c r="C42" s="17">
        <f ca="1">IFERROR(__xludf.DUMMYFUNCTION("VLOOKUP(B42,importrange(""https://docs.google.com/spreadsheets/d/1AKZWfXIvdsysa6H7tpQ8n5q9RMW5Kpg9_h1lzi3Nh-g"",""WatchListe!B3:BE""),51,0)"),0.0321737381862055)</f>
        <v>3.2173738186205503E-2</v>
      </c>
      <c r="D42" s="10">
        <f ca="1">IFERROR(__xludf.DUMMYFUNCTION("GOOGLEFINANCE(B42)"),49.78)</f>
        <v>49.78</v>
      </c>
      <c r="E42" s="13" t="str">
        <f t="shared" si="0"/>
        <v>Voir plus</v>
      </c>
    </row>
    <row r="43" spans="1:5" ht="15.45" x14ac:dyDescent="0.4">
      <c r="A43" s="18" t="s">
        <v>100</v>
      </c>
      <c r="B43" s="16" t="s">
        <v>101</v>
      </c>
      <c r="C43" s="19" t="s">
        <v>102</v>
      </c>
      <c r="D43" s="10">
        <f ca="1">IFERROR(__xludf.DUMMYFUNCTION("GOOGLEFINANCE(B43)"),285.66)</f>
        <v>285.66000000000003</v>
      </c>
      <c r="E43" s="13" t="str">
        <f t="shared" si="0"/>
        <v>Voir plus</v>
      </c>
    </row>
    <row r="44" spans="1:5" ht="15.45" x14ac:dyDescent="0.4">
      <c r="A44" s="8" t="s">
        <v>103</v>
      </c>
      <c r="B44" s="16" t="s">
        <v>104</v>
      </c>
      <c r="C44" s="17">
        <f ca="1">IFERROR(__xludf.DUMMYFUNCTION("VLOOKUP(B44,importrange(""https://docs.google.com/spreadsheets/d/1AKZWfXIvdsysa6H7tpQ8n5q9RMW5Kpg9_h1lzi3Nh-g"",""WatchListe!B3:BE""),51,0)"),0.0116822429906542)</f>
        <v>1.16822429906542E-2</v>
      </c>
      <c r="D44" s="10">
        <f ca="1">IFERROR(__xludf.DUMMYFUNCTION("GOOGLEFINANCE(B44)"),191.98)</f>
        <v>191.98</v>
      </c>
      <c r="E44" s="13" t="str">
        <f t="shared" si="0"/>
        <v>Voir plus</v>
      </c>
    </row>
    <row r="45" spans="1:5" ht="15.45" x14ac:dyDescent="0.4">
      <c r="A45" s="8" t="s">
        <v>105</v>
      </c>
      <c r="B45" s="16" t="s">
        <v>106</v>
      </c>
      <c r="C45" s="17">
        <f ca="1">IFERROR(__xludf.DUMMYFUNCTION("VLOOKUP(B45,importrange(""https://docs.google.com/spreadsheets/d/1AKZWfXIvdsysa6H7tpQ8n5q9RMW5Kpg9_h1lzi3Nh-g"",""WatchListe!B3:BE""),51,0)"),0.0144977168949771)</f>
        <v>1.44977168949771E-2</v>
      </c>
      <c r="D45" s="10">
        <f ca="1">IFERROR(__xludf.DUMMYFUNCTION("GOOGLEFINANCE(B45)"),87.58)</f>
        <v>87.58</v>
      </c>
      <c r="E45" s="13" t="str">
        <f t="shared" si="0"/>
        <v>Voir plus</v>
      </c>
    </row>
    <row r="46" spans="1:5" ht="15.45" x14ac:dyDescent="0.4">
      <c r="A46" s="8" t="s">
        <v>107</v>
      </c>
      <c r="B46" s="16" t="s">
        <v>108</v>
      </c>
      <c r="C46" s="17">
        <f ca="1">IFERROR(__xludf.DUMMYFUNCTION("VLOOKUP(B46,importrange(""https://docs.google.com/spreadsheets/d/1AKZWfXIvdsysa6H7tpQ8n5q9RMW5Kpg9_h1lzi3Nh-g"",""WatchListe!B3:BE""),51,0)"),0.0216522747776775)</f>
        <v>2.1652274777677501E-2</v>
      </c>
      <c r="D46" s="10">
        <f ca="1">IFERROR(__xludf.DUMMYFUNCTION("GOOGLEFINANCE(B46)"),232.73)</f>
        <v>232.73</v>
      </c>
      <c r="E46" s="13" t="str">
        <f t="shared" si="0"/>
        <v>Voir plus</v>
      </c>
    </row>
    <row r="47" spans="1:5" ht="15.45" x14ac:dyDescent="0.4">
      <c r="A47" s="8" t="s">
        <v>109</v>
      </c>
      <c r="B47" s="16" t="s">
        <v>110</v>
      </c>
      <c r="C47" s="19" t="s">
        <v>26</v>
      </c>
      <c r="D47" s="10">
        <f ca="1">IFERROR(__xludf.DUMMYFUNCTION("GOOGLEFINANCE(B47)"),126.43)</f>
        <v>126.43</v>
      </c>
      <c r="E47" s="13" t="str">
        <f t="shared" si="0"/>
        <v>Voir plus</v>
      </c>
    </row>
    <row r="48" spans="1:5" ht="15.45" x14ac:dyDescent="0.4">
      <c r="A48" s="8" t="s">
        <v>111</v>
      </c>
      <c r="B48" s="16" t="s">
        <v>112</v>
      </c>
      <c r="C48" s="17">
        <f ca="1">IFERROR(__xludf.DUMMYFUNCTION("VLOOKUP(B48,importrange(""https://docs.google.com/spreadsheets/d/1AKZWfXIvdsysa6H7tpQ8n5q9RMW5Kpg9_h1lzi3Nh-g"",""WatchListe!B3:BE""),51,0)"),0.0172330875280538)</f>
        <v>1.72330875280538E-2</v>
      </c>
      <c r="D48" s="10">
        <f ca="1">IFERROR(__xludf.DUMMYFUNCTION("GOOGLEFINANCE(B48)"),93.65)</f>
        <v>93.65</v>
      </c>
      <c r="E48" s="13" t="str">
        <f t="shared" si="0"/>
        <v>Voir plus</v>
      </c>
    </row>
    <row r="49" spans="1:5" ht="15.45" x14ac:dyDescent="0.4">
      <c r="A49" s="8" t="s">
        <v>113</v>
      </c>
      <c r="B49" s="16" t="s">
        <v>114</v>
      </c>
      <c r="C49" s="19" t="s">
        <v>115</v>
      </c>
      <c r="D49" s="10">
        <f ca="1">IFERROR(__xludf.DUMMYFUNCTION("GOOGLEFINANCE(B49)"),68.29)</f>
        <v>68.290000000000006</v>
      </c>
      <c r="E49" s="13" t="str">
        <f t="shared" si="0"/>
        <v>Voir plus</v>
      </c>
    </row>
    <row r="50" spans="1:5" ht="15.45" x14ac:dyDescent="0.4">
      <c r="A50" s="18" t="s">
        <v>116</v>
      </c>
      <c r="B50" s="16" t="s">
        <v>117</v>
      </c>
      <c r="C50" s="19" t="s">
        <v>118</v>
      </c>
      <c r="D50" s="10">
        <f ca="1">IFERROR(__xludf.DUMMYFUNCTION("GOOGLEFINANCE(B50)"),16.34)</f>
        <v>16.34</v>
      </c>
      <c r="E50" s="13" t="str">
        <f t="shared" si="0"/>
        <v>Voir plus</v>
      </c>
    </row>
    <row r="51" spans="1:5" ht="15.45" x14ac:dyDescent="0.4">
      <c r="A51" s="8" t="s">
        <v>119</v>
      </c>
      <c r="B51" s="16" t="s">
        <v>120</v>
      </c>
      <c r="C51" s="17">
        <f ca="1">IFERROR(__xludf.DUMMYFUNCTION("VLOOKUP(B51,importrange(""https://docs.google.com/spreadsheets/d/1AKZWfXIvdsysa6H7tpQ8n5q9RMW5Kpg9_h1lzi3Nh-g"",""WatchListe!B3:BE""),51,0)"),0.0269225620775048)</f>
        <v>2.6922562077504798E-2</v>
      </c>
      <c r="D51" s="10">
        <f ca="1">IFERROR(__xludf.DUMMYFUNCTION("GOOGLEFINANCE(B51)"),149.61)</f>
        <v>149.61000000000001</v>
      </c>
      <c r="E51" s="13" t="str">
        <f t="shared" si="0"/>
        <v>Voir plus</v>
      </c>
    </row>
    <row r="52" spans="1:5" ht="15.45" x14ac:dyDescent="0.4">
      <c r="A52" s="8" t="s">
        <v>121</v>
      </c>
      <c r="B52" s="16" t="s">
        <v>122</v>
      </c>
      <c r="C52" s="17">
        <f ca="1">IFERROR(__xludf.DUMMYFUNCTION("VLOOKUP(B52,importrange(""https://docs.google.com/spreadsheets/d/1AKZWfXIvdsysa6H7tpQ8n5q9RMW5Kpg9_h1lzi3Nh-g"",""WatchListe!B3:BE""),51,0)"),0.0123915737298636)</f>
        <v>1.23915737298636E-2</v>
      </c>
      <c r="D52" s="10">
        <f ca="1">IFERROR(__xludf.DUMMYFUNCTION("GOOGLEFINANCE(B52)"),169.18)</f>
        <v>169.18</v>
      </c>
      <c r="E52" s="13" t="str">
        <f t="shared" si="0"/>
        <v>Voir plus</v>
      </c>
    </row>
    <row r="53" spans="1:5" ht="15.45" x14ac:dyDescent="0.4">
      <c r="A53" s="8" t="s">
        <v>123</v>
      </c>
      <c r="B53" s="16" t="s">
        <v>124</v>
      </c>
      <c r="C53" s="17">
        <f ca="1">IFERROR(__xludf.DUMMYFUNCTION("VLOOKUP(B53,importrange(""https://docs.google.com/spreadsheets/d/1AKZWfXIvdsysa6H7tpQ8n5q9RMW5Kpg9_h1lzi3Nh-g"",""WatchListe!B3:BE""),51,0)"),0.0228944856450547)</f>
        <v>2.28944856450547E-2</v>
      </c>
      <c r="D53" s="10">
        <f ca="1">IFERROR(__xludf.DUMMYFUNCTION("GOOGLEFINANCE(B53)"),136.24)</f>
        <v>136.24</v>
      </c>
      <c r="E53" s="13" t="str">
        <f t="shared" si="0"/>
        <v>Voir plus</v>
      </c>
    </row>
    <row r="54" spans="1:5" ht="15.45" x14ac:dyDescent="0.4">
      <c r="A54" s="8" t="s">
        <v>125</v>
      </c>
      <c r="B54" s="16" t="s">
        <v>126</v>
      </c>
      <c r="C54" s="17">
        <f ca="1">IFERROR(__xludf.DUMMYFUNCTION("VLOOKUP(B54,importrange(""https://docs.google.com/spreadsheets/d/1AKZWfXIvdsysa6H7tpQ8n5q9RMW5Kpg9_h1lzi3Nh-g"",""WatchListe!B3:BE""),51,0)"),0.0407905544147843)</f>
        <v>4.0790554414784297E-2</v>
      </c>
      <c r="D54" s="10">
        <f ca="1">IFERROR(__xludf.DUMMYFUNCTION("GOOGLEFINANCE(B54)"),68.17)</f>
        <v>68.17</v>
      </c>
      <c r="E54" s="13" t="str">
        <f t="shared" si="0"/>
        <v>Voir plus</v>
      </c>
    </row>
    <row r="55" spans="1:5" ht="15.45" x14ac:dyDescent="0.4">
      <c r="A55" s="18" t="s">
        <v>127</v>
      </c>
      <c r="B55" s="16" t="s">
        <v>128</v>
      </c>
      <c r="C55" s="19" t="s">
        <v>129</v>
      </c>
      <c r="D55" s="10">
        <f ca="1">IFERROR(__xludf.DUMMYFUNCTION("GOOGLEFINANCE(B55)"),473.75)</f>
        <v>473.75</v>
      </c>
      <c r="E55" s="13" t="str">
        <f t="shared" si="0"/>
        <v>Voir plus</v>
      </c>
    </row>
    <row r="56" spans="1:5" ht="15.45" x14ac:dyDescent="0.4">
      <c r="A56" s="8" t="s">
        <v>130</v>
      </c>
      <c r="B56" s="16" t="s">
        <v>131</v>
      </c>
      <c r="C56" s="17">
        <f ca="1">IFERROR(__xludf.DUMMYFUNCTION("VLOOKUP(B56,importrange(""https://docs.google.com/spreadsheets/d/1AKZWfXIvdsysa6H7tpQ8n5q9RMW5Kpg9_h1lzi3Nh-g"",""WatchListe!B3:BE""),51,0)"),0.00234548596823306)</f>
        <v>2.3454859682330602E-3</v>
      </c>
      <c r="D56" s="10">
        <f ca="1">IFERROR(__xludf.DUMMYFUNCTION("GOOGLEFINANCE(B56)"),121.55)</f>
        <v>121.55</v>
      </c>
      <c r="E56" s="13" t="str">
        <f t="shared" si="0"/>
        <v>Voir plus</v>
      </c>
    </row>
    <row r="57" spans="1:5" ht="15.45" x14ac:dyDescent="0.4">
      <c r="A57" s="8" t="s">
        <v>132</v>
      </c>
      <c r="B57" s="16" t="s">
        <v>133</v>
      </c>
      <c r="C57" s="19" t="s">
        <v>134</v>
      </c>
      <c r="D57" s="10">
        <f ca="1">IFERROR(__xludf.DUMMYFUNCTION("GOOGLEFINANCE(B57)"),416.27)</f>
        <v>416.27</v>
      </c>
      <c r="E57" s="13" t="str">
        <f t="shared" si="0"/>
        <v>Voir plus</v>
      </c>
    </row>
    <row r="58" spans="1:5" ht="15.45" x14ac:dyDescent="0.4">
      <c r="A58" s="8" t="s">
        <v>135</v>
      </c>
      <c r="B58" s="16" t="s">
        <v>136</v>
      </c>
      <c r="C58" s="19" t="s">
        <v>137</v>
      </c>
      <c r="D58" s="10">
        <f ca="1">IFERROR(__xludf.DUMMYFUNCTION("GOOGLEFINANCE(B58)"),273.03)</f>
        <v>273.02999999999997</v>
      </c>
      <c r="E58" s="13" t="str">
        <f t="shared" si="0"/>
        <v>Voir plus</v>
      </c>
    </row>
    <row r="59" spans="1:5" ht="15.45" x14ac:dyDescent="0.4">
      <c r="A59" s="8" t="s">
        <v>138</v>
      </c>
      <c r="B59" s="16" t="s">
        <v>139</v>
      </c>
      <c r="C59" s="17">
        <f ca="1">IFERROR(__xludf.DUMMYFUNCTION("VLOOKUP(B59,importrange(""https://docs.google.com/spreadsheets/d/1AKZWfXIvdsysa6H7tpQ8n5q9RMW5Kpg9_h1lzi3Nh-g"",""WatchListe!B3:BE""),51,0)"),0.0135398402493668)</f>
        <v>1.3539840249366801E-2</v>
      </c>
      <c r="D59" s="10">
        <f ca="1">IFERROR(__xludf.DUMMYFUNCTION("GOOGLEFINANCE(B59)"),205.38)</f>
        <v>205.38</v>
      </c>
      <c r="E59" s="13" t="str">
        <f t="shared" si="0"/>
        <v>Voir plus</v>
      </c>
    </row>
    <row r="60" spans="1:5" ht="15.45" x14ac:dyDescent="0.4">
      <c r="A60" s="8" t="s">
        <v>140</v>
      </c>
      <c r="B60" s="16" t="s">
        <v>141</v>
      </c>
      <c r="C60" s="19" t="s">
        <v>142</v>
      </c>
      <c r="D60" s="10">
        <f ca="1">IFERROR(__xludf.DUMMYFUNCTION("GOOGLEFINANCE(B60)"),74.56)</f>
        <v>74.56</v>
      </c>
      <c r="E60" s="13" t="str">
        <f t="shared" si="0"/>
        <v>Voir plus</v>
      </c>
    </row>
    <row r="61" spans="1:5" ht="15.45" x14ac:dyDescent="0.4">
      <c r="A61" s="8" t="s">
        <v>143</v>
      </c>
      <c r="B61" s="16" t="s">
        <v>144</v>
      </c>
      <c r="C61" s="17">
        <f ca="1">IFERROR(__xludf.DUMMYFUNCTION("VLOOKUP(B61,importrange(""https://docs.google.com/spreadsheets/d/1AKZWfXIvdsysa6H7tpQ8n5q9RMW5Kpg9_h1lzi3Nh-g"",""WatchListe!B3:BE""),51,0)"),0.0180877254685223)</f>
        <v>1.80877254685223E-2</v>
      </c>
      <c r="D61" s="10">
        <f ca="1">IFERROR(__xludf.DUMMYFUNCTION("GOOGLEFINANCE(B61)"),198.94)</f>
        <v>198.94</v>
      </c>
      <c r="E61" s="13" t="str">
        <f t="shared" si="0"/>
        <v>Voir plus</v>
      </c>
    </row>
    <row r="62" spans="1:5" ht="15.45" x14ac:dyDescent="0.4">
      <c r="A62" s="8" t="s">
        <v>145</v>
      </c>
      <c r="B62" s="16" t="s">
        <v>146</v>
      </c>
      <c r="C62" s="17">
        <f ca="1">IFERROR(__xludf.DUMMYFUNCTION("VLOOKUP(B62,importrange(""https://docs.google.com/spreadsheets/d/1AKZWfXIvdsysa6H7tpQ8n5q9RMW5Kpg9_h1lzi3Nh-g"",""WatchListe!B3:BE""),51,0)"),0.0109089428908698)</f>
        <v>1.0908942890869799E-2</v>
      </c>
      <c r="D62" s="10">
        <f ca="1">IFERROR(__xludf.DUMMYFUNCTION("GOOGLEFINANCE(B62)"),245.73)</f>
        <v>245.73</v>
      </c>
      <c r="E62" s="13" t="str">
        <f t="shared" si="0"/>
        <v>Voir plus</v>
      </c>
    </row>
    <row r="63" spans="1:5" ht="15.45" x14ac:dyDescent="0.4">
      <c r="A63" s="18" t="s">
        <v>147</v>
      </c>
      <c r="B63" s="16" t="s">
        <v>148</v>
      </c>
      <c r="C63" s="19" t="s">
        <v>149</v>
      </c>
      <c r="D63" s="10" t="str">
        <f ca="1">IFERROR(__xludf.DUMMYFUNCTION("GOOGLEFINANCE(B63)"),"#N/A")</f>
        <v>#N/A</v>
      </c>
      <c r="E63" s="13" t="str">
        <f t="shared" si="0"/>
        <v>Voir plus</v>
      </c>
    </row>
    <row r="64" spans="1:5" ht="15.45" x14ac:dyDescent="0.4">
      <c r="A64" s="8" t="s">
        <v>150</v>
      </c>
      <c r="B64" s="16" t="s">
        <v>151</v>
      </c>
      <c r="C64" s="17">
        <f ca="1">IFERROR(__xludf.DUMMYFUNCTION("VLOOKUP(B64,importrange(""https://docs.google.com/spreadsheets/d/1AKZWfXIvdsysa6H7tpQ8n5q9RMW5Kpg9_h1lzi3Nh-g"",""WatchListe!B3:BE""),51,0)"),0.0238301024817878)</f>
        <v>2.3830102481787799E-2</v>
      </c>
      <c r="D64" s="10">
        <f ca="1">IFERROR(__xludf.DUMMYFUNCTION("GOOGLEFINANCE(B64)"),80.78)</f>
        <v>80.78</v>
      </c>
      <c r="E64" s="13" t="str">
        <f t="shared" si="0"/>
        <v>Voir plus</v>
      </c>
    </row>
    <row r="65" spans="1:5" ht="15.45" x14ac:dyDescent="0.4">
      <c r="A65" s="8" t="s">
        <v>152</v>
      </c>
      <c r="B65" s="16" t="s">
        <v>153</v>
      </c>
      <c r="C65" s="19" t="s">
        <v>154</v>
      </c>
      <c r="D65" s="10">
        <f ca="1">IFERROR(__xludf.DUMMYFUNCTION("GOOGLEFINANCE(B65)"),449.08)</f>
        <v>449.08</v>
      </c>
      <c r="E65" s="13" t="str">
        <f t="shared" si="0"/>
        <v>Voir plus</v>
      </c>
    </row>
    <row r="66" spans="1:5" ht="15.45" x14ac:dyDescent="0.4">
      <c r="A66" s="8" t="s">
        <v>155</v>
      </c>
      <c r="B66" s="16" t="s">
        <v>156</v>
      </c>
      <c r="C66" s="17">
        <f ca="1">IFERROR(__xludf.DUMMYFUNCTION("VLOOKUP(B66,importrange(""https://docs.google.com/spreadsheets/d/1AKZWfXIvdsysa6H7tpQ8n5q9RMW5Kpg9_h1lzi3Nh-g"",""WatchListe!B3:BE""),51,0)"),0.0155395683453237)</f>
        <v>1.55395683453237E-2</v>
      </c>
      <c r="D66" s="10">
        <f ca="1">IFERROR(__xludf.DUMMYFUNCTION("GOOGLEFINANCE(B66)"),139.14)</f>
        <v>139.13999999999999</v>
      </c>
      <c r="E66" s="13" t="str">
        <f t="shared" si="0"/>
        <v>Voir plus</v>
      </c>
    </row>
    <row r="67" spans="1:5" ht="15.45" x14ac:dyDescent="0.4">
      <c r="A67" s="8" t="s">
        <v>157</v>
      </c>
      <c r="B67" s="16" t="s">
        <v>158</v>
      </c>
      <c r="C67" s="17">
        <f ca="1">IFERROR(__xludf.DUMMYFUNCTION("VLOOKUP(B67,importrange(""https://docs.google.com/spreadsheets/d/1AKZWfXIvdsysa6H7tpQ8n5q9RMW5Kpg9_h1lzi3Nh-g"",""WatchListe!B3:BE""),51,0)"),0.0396655231560892)</f>
        <v>3.9665523156089198E-2</v>
      </c>
      <c r="D67" s="10">
        <f ca="1">IFERROR(__xludf.DUMMYFUNCTION("GOOGLEFINANCE(B67)"),46.69)</f>
        <v>46.69</v>
      </c>
      <c r="E67" s="13" t="str">
        <f t="shared" si="0"/>
        <v>Voir plus</v>
      </c>
    </row>
    <row r="68" spans="1:5" ht="15.45" x14ac:dyDescent="0.4">
      <c r="A68" s="20"/>
      <c r="B68" s="21"/>
      <c r="C68" s="22"/>
      <c r="D68" s="23"/>
      <c r="E68" s="24"/>
    </row>
    <row r="69" spans="1:5" ht="15.45" x14ac:dyDescent="0.4">
      <c r="A69" s="20"/>
      <c r="B69" s="21"/>
      <c r="C69" s="22"/>
      <c r="D69" s="23"/>
      <c r="E69" s="24" t="e">
        <f ca="1">IMAGE(GOOGLEANALYTICS("UA-73174410-1","DividendAristocratsUS","Liste"))</f>
        <v>#NAME?</v>
      </c>
    </row>
  </sheetData>
  <mergeCells count="2">
    <mergeCell ref="A1:E1"/>
    <mergeCell ref="A2:E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Z1005"/>
  <sheetViews>
    <sheetView showGridLines="0" workbookViewId="0">
      <selection activeCell="A6" sqref="A6"/>
    </sheetView>
  </sheetViews>
  <sheetFormatPr baseColWidth="10" defaultColWidth="14.4609375" defaultRowHeight="15.75" customHeight="1" x14ac:dyDescent="0.3"/>
  <cols>
    <col min="1" max="1" width="91.4609375" customWidth="1"/>
    <col min="2" max="26" width="93.4609375" customWidth="1"/>
  </cols>
  <sheetData>
    <row r="1" spans="1:26" x14ac:dyDescent="0.4">
      <c r="A1" s="25" t="str">
        <f>HYPERLINK("https://revenusetdividendes.com/les-dividend-aristocrats-ou-le-meilleur-des-actions-a-dividendes/?utm_source=gsheet&amp;utm_medium=usdiva","Source : Revenus et Dividendes")</f>
        <v>Source : Revenus et Dividendes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x14ac:dyDescent="0.4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4">
      <c r="A3" s="27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4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45" x14ac:dyDescent="0.4">
      <c r="A5" s="27" t="s">
        <v>298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45" x14ac:dyDescent="0.4">
      <c r="A6" s="27" t="s">
        <v>297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4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55000000000000004">
      <c r="A8" s="28" t="s">
        <v>160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4">
      <c r="A9" s="29" t="s">
        <v>161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4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4">
      <c r="A11" s="25" t="s">
        <v>162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4">
      <c r="A12" s="3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4">
      <c r="A13" s="25" t="str">
        <f>HYPERLINK("https://revenusetdividendes.com/devenir-rentier-grace-aux-dividendes/","Devenir Rentier Grâce à la Bourse")</f>
        <v>Devenir Rentier Grâce à la Bourse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4">
      <c r="A15" s="25" t="str">
        <f>HYPERLINK("http://revenusetdividendes.com/logiciel-suivi-portefeuille-bourse-ezportfolio/?utm_source=gsheet&amp;utm_medium=usdiva","EZPORTFOLIO, mon logiciel de suivi de portefeuille boursier")</f>
        <v>EZPORTFOLIO, mon logiciel de suivi de portefeuille boursier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4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4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45" x14ac:dyDescent="0.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45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45" x14ac:dyDescent="0.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45" x14ac:dyDescent="0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45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45" x14ac:dyDescent="0.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45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45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45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45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45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45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45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45" x14ac:dyDescent="0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45" x14ac:dyDescent="0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45" x14ac:dyDescent="0.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45" x14ac:dyDescent="0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45" x14ac:dyDescent="0.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45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45" x14ac:dyDescent="0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45" x14ac:dyDescent="0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45" x14ac:dyDescent="0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45" x14ac:dyDescent="0.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45" x14ac:dyDescent="0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45" x14ac:dyDescent="0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45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45" x14ac:dyDescent="0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45" x14ac:dyDescent="0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45" x14ac:dyDescent="0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45" x14ac:dyDescent="0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45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45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45" x14ac:dyDescent="0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45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45" x14ac:dyDescent="0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45" x14ac:dyDescent="0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45" x14ac:dyDescent="0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45" x14ac:dyDescent="0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45" x14ac:dyDescent="0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45" x14ac:dyDescent="0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45" x14ac:dyDescent="0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45" x14ac:dyDescent="0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45" x14ac:dyDescent="0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45" x14ac:dyDescent="0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45" x14ac:dyDescent="0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45" x14ac:dyDescent="0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45" x14ac:dyDescent="0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45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45" x14ac:dyDescent="0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45" x14ac:dyDescent="0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45" x14ac:dyDescent="0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45" x14ac:dyDescent="0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45" x14ac:dyDescent="0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45" x14ac:dyDescent="0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45" x14ac:dyDescent="0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45" x14ac:dyDescent="0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45" x14ac:dyDescent="0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45" x14ac:dyDescent="0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45" x14ac:dyDescent="0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45" x14ac:dyDescent="0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45" x14ac:dyDescent="0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45" x14ac:dyDescent="0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45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45" x14ac:dyDescent="0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45" x14ac:dyDescent="0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45" x14ac:dyDescent="0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45" x14ac:dyDescent="0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45" x14ac:dyDescent="0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45" x14ac:dyDescent="0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45" x14ac:dyDescent="0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45" x14ac:dyDescent="0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45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45" x14ac:dyDescent="0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45" x14ac:dyDescent="0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45" x14ac:dyDescent="0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45" x14ac:dyDescent="0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45" x14ac:dyDescent="0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45" x14ac:dyDescent="0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45" x14ac:dyDescent="0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45" x14ac:dyDescent="0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45" x14ac:dyDescent="0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45" x14ac:dyDescent="0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45" x14ac:dyDescent="0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45" x14ac:dyDescent="0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45" x14ac:dyDescent="0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45" x14ac:dyDescent="0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45" x14ac:dyDescent="0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45" x14ac:dyDescent="0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45" x14ac:dyDescent="0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45" x14ac:dyDescent="0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45" x14ac:dyDescent="0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45" x14ac:dyDescent="0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45" x14ac:dyDescent="0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45" x14ac:dyDescent="0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45" x14ac:dyDescent="0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45" x14ac:dyDescent="0.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45" x14ac:dyDescent="0.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45" x14ac:dyDescent="0.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45" x14ac:dyDescent="0.4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45" x14ac:dyDescent="0.4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45" x14ac:dyDescent="0.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45" x14ac:dyDescent="0.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45" x14ac:dyDescent="0.4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45" x14ac:dyDescent="0.4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45" x14ac:dyDescent="0.4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45" x14ac:dyDescent="0.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45" x14ac:dyDescent="0.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45" x14ac:dyDescent="0.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45" x14ac:dyDescent="0.4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45" x14ac:dyDescent="0.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45" x14ac:dyDescent="0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45" x14ac:dyDescent="0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45" x14ac:dyDescent="0.4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45" x14ac:dyDescent="0.4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45" x14ac:dyDescent="0.4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45" x14ac:dyDescent="0.4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45" x14ac:dyDescent="0.4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45" x14ac:dyDescent="0.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45" x14ac:dyDescent="0.4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45" x14ac:dyDescent="0.4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45" x14ac:dyDescent="0.4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45" x14ac:dyDescent="0.4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45" x14ac:dyDescent="0.4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45" x14ac:dyDescent="0.4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45" x14ac:dyDescent="0.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45" x14ac:dyDescent="0.4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45" x14ac:dyDescent="0.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45" x14ac:dyDescent="0.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45" x14ac:dyDescent="0.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45" x14ac:dyDescent="0.4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45" x14ac:dyDescent="0.4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45" x14ac:dyDescent="0.4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45" x14ac:dyDescent="0.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45" x14ac:dyDescent="0.4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45" x14ac:dyDescent="0.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45" x14ac:dyDescent="0.4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45" x14ac:dyDescent="0.4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45" x14ac:dyDescent="0.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45" x14ac:dyDescent="0.4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45" x14ac:dyDescent="0.4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45" x14ac:dyDescent="0.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45" x14ac:dyDescent="0.4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45" x14ac:dyDescent="0.4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45" x14ac:dyDescent="0.4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45" x14ac:dyDescent="0.4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45" x14ac:dyDescent="0.4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45" x14ac:dyDescent="0.4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45" x14ac:dyDescent="0.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45" x14ac:dyDescent="0.4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45" x14ac:dyDescent="0.4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45" x14ac:dyDescent="0.4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45" x14ac:dyDescent="0.4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45" x14ac:dyDescent="0.4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45" x14ac:dyDescent="0.4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45" x14ac:dyDescent="0.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45" x14ac:dyDescent="0.4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45" x14ac:dyDescent="0.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45" x14ac:dyDescent="0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45" x14ac:dyDescent="0.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45" x14ac:dyDescent="0.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45" x14ac:dyDescent="0.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45" x14ac:dyDescent="0.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45" x14ac:dyDescent="0.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45" x14ac:dyDescent="0.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45" x14ac:dyDescent="0.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45" x14ac:dyDescent="0.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45" x14ac:dyDescent="0.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45" x14ac:dyDescent="0.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45" x14ac:dyDescent="0.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45" x14ac:dyDescent="0.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45" x14ac:dyDescent="0.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45" x14ac:dyDescent="0.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45" x14ac:dyDescent="0.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45" x14ac:dyDescent="0.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45" x14ac:dyDescent="0.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45" x14ac:dyDescent="0.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45" x14ac:dyDescent="0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45" x14ac:dyDescent="0.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45" x14ac:dyDescent="0.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45" x14ac:dyDescent="0.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45" x14ac:dyDescent="0.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45" x14ac:dyDescent="0.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45" x14ac:dyDescent="0.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45" x14ac:dyDescent="0.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45" x14ac:dyDescent="0.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45" x14ac:dyDescent="0.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45" x14ac:dyDescent="0.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45" x14ac:dyDescent="0.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45" x14ac:dyDescent="0.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45" x14ac:dyDescent="0.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45" x14ac:dyDescent="0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45" x14ac:dyDescent="0.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45" x14ac:dyDescent="0.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45" x14ac:dyDescent="0.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45" x14ac:dyDescent="0.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45" x14ac:dyDescent="0.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45" x14ac:dyDescent="0.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45" x14ac:dyDescent="0.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45" x14ac:dyDescent="0.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45" x14ac:dyDescent="0.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45" x14ac:dyDescent="0.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45" x14ac:dyDescent="0.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45" x14ac:dyDescent="0.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45" x14ac:dyDescent="0.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45" x14ac:dyDescent="0.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45" x14ac:dyDescent="0.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45" x14ac:dyDescent="0.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45" x14ac:dyDescent="0.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45" x14ac:dyDescent="0.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45" x14ac:dyDescent="0.4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45" x14ac:dyDescent="0.4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45" x14ac:dyDescent="0.4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45" x14ac:dyDescent="0.4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45" x14ac:dyDescent="0.4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45" x14ac:dyDescent="0.4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45" x14ac:dyDescent="0.4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45" x14ac:dyDescent="0.4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45" x14ac:dyDescent="0.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45" x14ac:dyDescent="0.4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45" x14ac:dyDescent="0.4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45" x14ac:dyDescent="0.4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45" x14ac:dyDescent="0.4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45" x14ac:dyDescent="0.4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45" x14ac:dyDescent="0.4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45" x14ac:dyDescent="0.4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45" x14ac:dyDescent="0.4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45" x14ac:dyDescent="0.4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45" x14ac:dyDescent="0.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45" x14ac:dyDescent="0.4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45" x14ac:dyDescent="0.4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45" x14ac:dyDescent="0.4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45" x14ac:dyDescent="0.4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45" x14ac:dyDescent="0.4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45" x14ac:dyDescent="0.4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45" x14ac:dyDescent="0.4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45" x14ac:dyDescent="0.4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45" x14ac:dyDescent="0.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45" x14ac:dyDescent="0.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45" x14ac:dyDescent="0.4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45" x14ac:dyDescent="0.4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45" x14ac:dyDescent="0.4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45" x14ac:dyDescent="0.4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45" x14ac:dyDescent="0.4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45" x14ac:dyDescent="0.4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45" x14ac:dyDescent="0.4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45" x14ac:dyDescent="0.4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45" x14ac:dyDescent="0.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45" x14ac:dyDescent="0.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45" x14ac:dyDescent="0.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45" x14ac:dyDescent="0.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45" x14ac:dyDescent="0.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45" x14ac:dyDescent="0.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45" x14ac:dyDescent="0.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45" x14ac:dyDescent="0.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45" x14ac:dyDescent="0.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45" x14ac:dyDescent="0.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45" x14ac:dyDescent="0.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45" x14ac:dyDescent="0.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45" x14ac:dyDescent="0.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45" x14ac:dyDescent="0.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45" x14ac:dyDescent="0.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45" x14ac:dyDescent="0.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45" x14ac:dyDescent="0.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45" x14ac:dyDescent="0.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45" x14ac:dyDescent="0.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45" x14ac:dyDescent="0.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45" x14ac:dyDescent="0.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45" x14ac:dyDescent="0.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45" x14ac:dyDescent="0.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45" x14ac:dyDescent="0.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45" x14ac:dyDescent="0.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45" x14ac:dyDescent="0.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45" x14ac:dyDescent="0.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45" x14ac:dyDescent="0.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45" x14ac:dyDescent="0.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45" x14ac:dyDescent="0.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45" x14ac:dyDescent="0.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45" x14ac:dyDescent="0.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45" x14ac:dyDescent="0.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45" x14ac:dyDescent="0.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45" x14ac:dyDescent="0.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45" x14ac:dyDescent="0.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45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45" x14ac:dyDescent="0.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45" x14ac:dyDescent="0.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45" x14ac:dyDescent="0.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45" x14ac:dyDescent="0.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45" x14ac:dyDescent="0.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45" x14ac:dyDescent="0.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45" x14ac:dyDescent="0.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45" x14ac:dyDescent="0.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45" x14ac:dyDescent="0.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45" x14ac:dyDescent="0.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45" x14ac:dyDescent="0.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45" x14ac:dyDescent="0.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45" x14ac:dyDescent="0.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45" x14ac:dyDescent="0.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45" x14ac:dyDescent="0.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45" x14ac:dyDescent="0.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45" x14ac:dyDescent="0.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45" x14ac:dyDescent="0.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45" x14ac:dyDescent="0.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45" x14ac:dyDescent="0.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45" x14ac:dyDescent="0.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45" x14ac:dyDescent="0.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45" x14ac:dyDescent="0.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45" x14ac:dyDescent="0.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45" x14ac:dyDescent="0.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45" x14ac:dyDescent="0.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45" x14ac:dyDescent="0.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45" x14ac:dyDescent="0.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45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45" x14ac:dyDescent="0.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45" x14ac:dyDescent="0.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45" x14ac:dyDescent="0.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45" x14ac:dyDescent="0.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45" x14ac:dyDescent="0.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45" x14ac:dyDescent="0.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45" x14ac:dyDescent="0.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45" x14ac:dyDescent="0.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45" x14ac:dyDescent="0.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45" x14ac:dyDescent="0.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45" x14ac:dyDescent="0.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45" x14ac:dyDescent="0.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45" x14ac:dyDescent="0.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45" x14ac:dyDescent="0.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45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45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45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45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45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45" x14ac:dyDescent="0.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45" x14ac:dyDescent="0.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45" x14ac:dyDescent="0.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45" x14ac:dyDescent="0.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45" x14ac:dyDescent="0.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45" x14ac:dyDescent="0.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45" x14ac:dyDescent="0.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45" x14ac:dyDescent="0.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45" x14ac:dyDescent="0.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45" x14ac:dyDescent="0.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45" x14ac:dyDescent="0.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45" x14ac:dyDescent="0.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45" x14ac:dyDescent="0.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45" x14ac:dyDescent="0.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45" x14ac:dyDescent="0.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45" x14ac:dyDescent="0.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45" x14ac:dyDescent="0.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45" x14ac:dyDescent="0.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45" x14ac:dyDescent="0.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45" x14ac:dyDescent="0.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45" x14ac:dyDescent="0.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45" x14ac:dyDescent="0.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45" x14ac:dyDescent="0.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45" x14ac:dyDescent="0.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45" x14ac:dyDescent="0.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45" x14ac:dyDescent="0.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45" x14ac:dyDescent="0.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45" x14ac:dyDescent="0.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45" x14ac:dyDescent="0.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45" x14ac:dyDescent="0.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45" x14ac:dyDescent="0.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45" x14ac:dyDescent="0.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45" x14ac:dyDescent="0.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45" x14ac:dyDescent="0.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45" x14ac:dyDescent="0.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45" x14ac:dyDescent="0.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45" x14ac:dyDescent="0.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45" x14ac:dyDescent="0.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45" x14ac:dyDescent="0.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45" x14ac:dyDescent="0.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45" x14ac:dyDescent="0.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45" x14ac:dyDescent="0.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45" x14ac:dyDescent="0.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45" x14ac:dyDescent="0.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45" x14ac:dyDescent="0.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45" x14ac:dyDescent="0.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45" x14ac:dyDescent="0.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45" x14ac:dyDescent="0.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45" x14ac:dyDescent="0.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45" x14ac:dyDescent="0.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45" x14ac:dyDescent="0.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45" x14ac:dyDescent="0.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45" x14ac:dyDescent="0.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45" x14ac:dyDescent="0.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45" x14ac:dyDescent="0.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45" x14ac:dyDescent="0.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45" x14ac:dyDescent="0.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45" x14ac:dyDescent="0.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45" x14ac:dyDescent="0.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45" x14ac:dyDescent="0.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45" x14ac:dyDescent="0.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45" x14ac:dyDescent="0.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45" x14ac:dyDescent="0.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45" x14ac:dyDescent="0.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45" x14ac:dyDescent="0.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45" x14ac:dyDescent="0.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45" x14ac:dyDescent="0.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45" x14ac:dyDescent="0.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45" x14ac:dyDescent="0.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45" x14ac:dyDescent="0.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45" x14ac:dyDescent="0.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45" x14ac:dyDescent="0.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45" x14ac:dyDescent="0.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45" x14ac:dyDescent="0.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45" x14ac:dyDescent="0.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45" x14ac:dyDescent="0.4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45" x14ac:dyDescent="0.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45" x14ac:dyDescent="0.4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45" x14ac:dyDescent="0.4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45" x14ac:dyDescent="0.4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45" x14ac:dyDescent="0.4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45" x14ac:dyDescent="0.4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45" x14ac:dyDescent="0.4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45" x14ac:dyDescent="0.4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45" x14ac:dyDescent="0.4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45" x14ac:dyDescent="0.4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45" x14ac:dyDescent="0.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45" x14ac:dyDescent="0.4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45" x14ac:dyDescent="0.4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45" x14ac:dyDescent="0.4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45" x14ac:dyDescent="0.4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45" x14ac:dyDescent="0.4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45" x14ac:dyDescent="0.4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45" x14ac:dyDescent="0.4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45" x14ac:dyDescent="0.4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45" x14ac:dyDescent="0.4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45" x14ac:dyDescent="0.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45" x14ac:dyDescent="0.4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45" x14ac:dyDescent="0.4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45" x14ac:dyDescent="0.4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45" x14ac:dyDescent="0.4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45" x14ac:dyDescent="0.4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45" x14ac:dyDescent="0.4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45" x14ac:dyDescent="0.4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45" x14ac:dyDescent="0.4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45" x14ac:dyDescent="0.4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45" x14ac:dyDescent="0.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45" x14ac:dyDescent="0.4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45" x14ac:dyDescent="0.4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45" x14ac:dyDescent="0.4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45" x14ac:dyDescent="0.4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45" x14ac:dyDescent="0.4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45" x14ac:dyDescent="0.4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45" x14ac:dyDescent="0.4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45" x14ac:dyDescent="0.4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45" x14ac:dyDescent="0.4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45" x14ac:dyDescent="0.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45" x14ac:dyDescent="0.4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45" x14ac:dyDescent="0.4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45" x14ac:dyDescent="0.4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45" x14ac:dyDescent="0.4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45" x14ac:dyDescent="0.4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45" x14ac:dyDescent="0.4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45" x14ac:dyDescent="0.4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45" x14ac:dyDescent="0.4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45" x14ac:dyDescent="0.4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45" x14ac:dyDescent="0.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45" x14ac:dyDescent="0.4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45" x14ac:dyDescent="0.4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45" x14ac:dyDescent="0.4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45" x14ac:dyDescent="0.4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45" x14ac:dyDescent="0.4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45" x14ac:dyDescent="0.4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45" x14ac:dyDescent="0.4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45" x14ac:dyDescent="0.4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45" x14ac:dyDescent="0.4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45" x14ac:dyDescent="0.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45" x14ac:dyDescent="0.4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45" x14ac:dyDescent="0.4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45" x14ac:dyDescent="0.4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45" x14ac:dyDescent="0.4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45" x14ac:dyDescent="0.4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45" x14ac:dyDescent="0.4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45" x14ac:dyDescent="0.4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45" x14ac:dyDescent="0.4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45" x14ac:dyDescent="0.4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45" x14ac:dyDescent="0.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45" x14ac:dyDescent="0.4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45" x14ac:dyDescent="0.4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45" x14ac:dyDescent="0.4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45" x14ac:dyDescent="0.4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45" x14ac:dyDescent="0.4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45" x14ac:dyDescent="0.4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45" x14ac:dyDescent="0.4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45" x14ac:dyDescent="0.4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45" x14ac:dyDescent="0.4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45" x14ac:dyDescent="0.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45" x14ac:dyDescent="0.4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45" x14ac:dyDescent="0.4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45" x14ac:dyDescent="0.4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45" x14ac:dyDescent="0.4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45" x14ac:dyDescent="0.4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45" x14ac:dyDescent="0.4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45" x14ac:dyDescent="0.4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45" x14ac:dyDescent="0.4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45" x14ac:dyDescent="0.4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45" x14ac:dyDescent="0.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45" x14ac:dyDescent="0.4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45" x14ac:dyDescent="0.4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45" x14ac:dyDescent="0.4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45" x14ac:dyDescent="0.4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45" x14ac:dyDescent="0.4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45" x14ac:dyDescent="0.4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45" x14ac:dyDescent="0.4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45" x14ac:dyDescent="0.4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45" x14ac:dyDescent="0.4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45" x14ac:dyDescent="0.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45" x14ac:dyDescent="0.4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45" x14ac:dyDescent="0.4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45" x14ac:dyDescent="0.4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45" x14ac:dyDescent="0.4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45" x14ac:dyDescent="0.4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45" x14ac:dyDescent="0.4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45" x14ac:dyDescent="0.4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45" x14ac:dyDescent="0.4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45" x14ac:dyDescent="0.4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45" x14ac:dyDescent="0.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45" x14ac:dyDescent="0.4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45" x14ac:dyDescent="0.4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45" x14ac:dyDescent="0.4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45" x14ac:dyDescent="0.4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45" x14ac:dyDescent="0.4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45" x14ac:dyDescent="0.4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45" x14ac:dyDescent="0.4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45" x14ac:dyDescent="0.4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45" x14ac:dyDescent="0.4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45" x14ac:dyDescent="0.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45" x14ac:dyDescent="0.4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45" x14ac:dyDescent="0.4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45" x14ac:dyDescent="0.4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45" x14ac:dyDescent="0.4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45" x14ac:dyDescent="0.4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45" x14ac:dyDescent="0.4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45" x14ac:dyDescent="0.4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45" x14ac:dyDescent="0.4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45" x14ac:dyDescent="0.4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45" x14ac:dyDescent="0.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45" x14ac:dyDescent="0.4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45" x14ac:dyDescent="0.4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45" x14ac:dyDescent="0.4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45" x14ac:dyDescent="0.4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45" x14ac:dyDescent="0.4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45" x14ac:dyDescent="0.4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45" x14ac:dyDescent="0.4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45" x14ac:dyDescent="0.4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45" x14ac:dyDescent="0.4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45" x14ac:dyDescent="0.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45" x14ac:dyDescent="0.4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45" x14ac:dyDescent="0.4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45" x14ac:dyDescent="0.4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45" x14ac:dyDescent="0.4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45" x14ac:dyDescent="0.4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45" x14ac:dyDescent="0.4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45" x14ac:dyDescent="0.4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45" x14ac:dyDescent="0.4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45" x14ac:dyDescent="0.4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45" x14ac:dyDescent="0.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45" x14ac:dyDescent="0.4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45" x14ac:dyDescent="0.4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45" x14ac:dyDescent="0.4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45" x14ac:dyDescent="0.4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45" x14ac:dyDescent="0.4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45" x14ac:dyDescent="0.4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45" x14ac:dyDescent="0.4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45" x14ac:dyDescent="0.4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45" x14ac:dyDescent="0.4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45" x14ac:dyDescent="0.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45" x14ac:dyDescent="0.4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45" x14ac:dyDescent="0.4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45" x14ac:dyDescent="0.4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45" x14ac:dyDescent="0.4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45" x14ac:dyDescent="0.4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45" x14ac:dyDescent="0.4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45" x14ac:dyDescent="0.4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45" x14ac:dyDescent="0.4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45" x14ac:dyDescent="0.4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45" x14ac:dyDescent="0.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45" x14ac:dyDescent="0.4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45" x14ac:dyDescent="0.4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45" x14ac:dyDescent="0.4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45" x14ac:dyDescent="0.4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45" x14ac:dyDescent="0.4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45" x14ac:dyDescent="0.4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45" x14ac:dyDescent="0.4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45" x14ac:dyDescent="0.4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45" x14ac:dyDescent="0.4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45" x14ac:dyDescent="0.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45" x14ac:dyDescent="0.4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45" x14ac:dyDescent="0.4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45" x14ac:dyDescent="0.4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45" x14ac:dyDescent="0.4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45" x14ac:dyDescent="0.4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45" x14ac:dyDescent="0.4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45" x14ac:dyDescent="0.4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45" x14ac:dyDescent="0.4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45" x14ac:dyDescent="0.4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45" x14ac:dyDescent="0.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45" x14ac:dyDescent="0.4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45" x14ac:dyDescent="0.4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45" x14ac:dyDescent="0.4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45" x14ac:dyDescent="0.4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45" x14ac:dyDescent="0.4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45" x14ac:dyDescent="0.4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45" x14ac:dyDescent="0.4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45" x14ac:dyDescent="0.4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45" x14ac:dyDescent="0.4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45" x14ac:dyDescent="0.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45" x14ac:dyDescent="0.4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45" x14ac:dyDescent="0.4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45" x14ac:dyDescent="0.4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45" x14ac:dyDescent="0.4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45" x14ac:dyDescent="0.4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45" x14ac:dyDescent="0.4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45" x14ac:dyDescent="0.4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45" x14ac:dyDescent="0.4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45" x14ac:dyDescent="0.4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45" x14ac:dyDescent="0.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45" x14ac:dyDescent="0.4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45" x14ac:dyDescent="0.4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45" x14ac:dyDescent="0.4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45" x14ac:dyDescent="0.4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45" x14ac:dyDescent="0.4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45" x14ac:dyDescent="0.4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45" x14ac:dyDescent="0.4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45" x14ac:dyDescent="0.4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45" x14ac:dyDescent="0.4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45" x14ac:dyDescent="0.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45" x14ac:dyDescent="0.4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45" x14ac:dyDescent="0.4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45" x14ac:dyDescent="0.4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45" x14ac:dyDescent="0.4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45" x14ac:dyDescent="0.4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45" x14ac:dyDescent="0.4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45" x14ac:dyDescent="0.4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45" x14ac:dyDescent="0.4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45" x14ac:dyDescent="0.4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45" x14ac:dyDescent="0.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45" x14ac:dyDescent="0.4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45" x14ac:dyDescent="0.4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45" x14ac:dyDescent="0.4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45" x14ac:dyDescent="0.4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45" x14ac:dyDescent="0.4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45" x14ac:dyDescent="0.4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45" x14ac:dyDescent="0.4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45" x14ac:dyDescent="0.4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45" x14ac:dyDescent="0.4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45" x14ac:dyDescent="0.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45" x14ac:dyDescent="0.4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45" x14ac:dyDescent="0.4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45" x14ac:dyDescent="0.4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45" x14ac:dyDescent="0.4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45" x14ac:dyDescent="0.4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45" x14ac:dyDescent="0.4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45" x14ac:dyDescent="0.4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45" x14ac:dyDescent="0.4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45" x14ac:dyDescent="0.4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45" x14ac:dyDescent="0.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45" x14ac:dyDescent="0.4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45" x14ac:dyDescent="0.4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45" x14ac:dyDescent="0.4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45" x14ac:dyDescent="0.4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45" x14ac:dyDescent="0.4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45" x14ac:dyDescent="0.4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45" x14ac:dyDescent="0.4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45" x14ac:dyDescent="0.4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45" x14ac:dyDescent="0.4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45" x14ac:dyDescent="0.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45" x14ac:dyDescent="0.4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45" x14ac:dyDescent="0.4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45" x14ac:dyDescent="0.4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45" x14ac:dyDescent="0.4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45" x14ac:dyDescent="0.4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45" x14ac:dyDescent="0.4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45" x14ac:dyDescent="0.4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45" x14ac:dyDescent="0.4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45" x14ac:dyDescent="0.4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45" x14ac:dyDescent="0.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45" x14ac:dyDescent="0.4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45" x14ac:dyDescent="0.4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45" x14ac:dyDescent="0.4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45" x14ac:dyDescent="0.4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45" x14ac:dyDescent="0.4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45" x14ac:dyDescent="0.4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45" x14ac:dyDescent="0.4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45" x14ac:dyDescent="0.4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45" x14ac:dyDescent="0.4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45" x14ac:dyDescent="0.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45" x14ac:dyDescent="0.4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45" x14ac:dyDescent="0.4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45" x14ac:dyDescent="0.4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45" x14ac:dyDescent="0.4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45" x14ac:dyDescent="0.4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45" x14ac:dyDescent="0.4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45" x14ac:dyDescent="0.4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45" x14ac:dyDescent="0.4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45" x14ac:dyDescent="0.4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45" x14ac:dyDescent="0.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45" x14ac:dyDescent="0.4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45" x14ac:dyDescent="0.4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45" x14ac:dyDescent="0.4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45" x14ac:dyDescent="0.4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45" x14ac:dyDescent="0.4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45" x14ac:dyDescent="0.4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45" x14ac:dyDescent="0.4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45" x14ac:dyDescent="0.4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45" x14ac:dyDescent="0.4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45" x14ac:dyDescent="0.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45" x14ac:dyDescent="0.4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45" x14ac:dyDescent="0.4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45" x14ac:dyDescent="0.4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45" x14ac:dyDescent="0.4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45" x14ac:dyDescent="0.4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45" x14ac:dyDescent="0.4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45" x14ac:dyDescent="0.4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45" x14ac:dyDescent="0.4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45" x14ac:dyDescent="0.4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45" x14ac:dyDescent="0.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45" x14ac:dyDescent="0.4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45" x14ac:dyDescent="0.4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45" x14ac:dyDescent="0.4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45" x14ac:dyDescent="0.4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45" x14ac:dyDescent="0.4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45" x14ac:dyDescent="0.4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45" x14ac:dyDescent="0.4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45" x14ac:dyDescent="0.4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45" x14ac:dyDescent="0.4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45" x14ac:dyDescent="0.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45" x14ac:dyDescent="0.4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45" x14ac:dyDescent="0.4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45" x14ac:dyDescent="0.4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45" x14ac:dyDescent="0.4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45" x14ac:dyDescent="0.4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45" x14ac:dyDescent="0.4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45" x14ac:dyDescent="0.4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45" x14ac:dyDescent="0.4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45" x14ac:dyDescent="0.4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45" x14ac:dyDescent="0.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45" x14ac:dyDescent="0.4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45" x14ac:dyDescent="0.4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45" x14ac:dyDescent="0.4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45" x14ac:dyDescent="0.4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45" x14ac:dyDescent="0.4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45" x14ac:dyDescent="0.4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45" x14ac:dyDescent="0.4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45" x14ac:dyDescent="0.4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45" x14ac:dyDescent="0.4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45" x14ac:dyDescent="0.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45" x14ac:dyDescent="0.4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45" x14ac:dyDescent="0.4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45" x14ac:dyDescent="0.4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45" x14ac:dyDescent="0.4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45" x14ac:dyDescent="0.4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45" x14ac:dyDescent="0.4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45" x14ac:dyDescent="0.4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45" x14ac:dyDescent="0.4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45" x14ac:dyDescent="0.4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45" x14ac:dyDescent="0.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45" x14ac:dyDescent="0.4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45" x14ac:dyDescent="0.4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45" x14ac:dyDescent="0.4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45" x14ac:dyDescent="0.4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45" x14ac:dyDescent="0.4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45" x14ac:dyDescent="0.4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45" x14ac:dyDescent="0.4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45" x14ac:dyDescent="0.4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45" x14ac:dyDescent="0.4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45" x14ac:dyDescent="0.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45" x14ac:dyDescent="0.4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45" x14ac:dyDescent="0.4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45" x14ac:dyDescent="0.4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45" x14ac:dyDescent="0.4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45" x14ac:dyDescent="0.4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45" x14ac:dyDescent="0.4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45" x14ac:dyDescent="0.4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45" x14ac:dyDescent="0.4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45" x14ac:dyDescent="0.4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45" x14ac:dyDescent="0.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45" x14ac:dyDescent="0.4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45" x14ac:dyDescent="0.4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45" x14ac:dyDescent="0.4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45" x14ac:dyDescent="0.4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45" x14ac:dyDescent="0.4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45" x14ac:dyDescent="0.4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45" x14ac:dyDescent="0.4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45" x14ac:dyDescent="0.4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45" x14ac:dyDescent="0.4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45" x14ac:dyDescent="0.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45" x14ac:dyDescent="0.4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45" x14ac:dyDescent="0.4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45" x14ac:dyDescent="0.4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45" x14ac:dyDescent="0.4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45" x14ac:dyDescent="0.4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45" x14ac:dyDescent="0.4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45" x14ac:dyDescent="0.4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45" x14ac:dyDescent="0.4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45" x14ac:dyDescent="0.4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45" x14ac:dyDescent="0.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45" x14ac:dyDescent="0.4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45" x14ac:dyDescent="0.4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45" x14ac:dyDescent="0.4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45" x14ac:dyDescent="0.4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45" x14ac:dyDescent="0.4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45" x14ac:dyDescent="0.4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45" x14ac:dyDescent="0.4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45" x14ac:dyDescent="0.4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45" x14ac:dyDescent="0.4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45" x14ac:dyDescent="0.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45" x14ac:dyDescent="0.4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45" x14ac:dyDescent="0.4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45" x14ac:dyDescent="0.4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45" x14ac:dyDescent="0.4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45" x14ac:dyDescent="0.4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45" x14ac:dyDescent="0.4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45" x14ac:dyDescent="0.4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45" x14ac:dyDescent="0.4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45" x14ac:dyDescent="0.4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45" x14ac:dyDescent="0.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45" x14ac:dyDescent="0.4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45" x14ac:dyDescent="0.4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45" x14ac:dyDescent="0.4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45" x14ac:dyDescent="0.4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45" x14ac:dyDescent="0.4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45" x14ac:dyDescent="0.4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45" x14ac:dyDescent="0.4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45" x14ac:dyDescent="0.4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45" x14ac:dyDescent="0.4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45" x14ac:dyDescent="0.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45" x14ac:dyDescent="0.4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45" x14ac:dyDescent="0.4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45" x14ac:dyDescent="0.4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45" x14ac:dyDescent="0.4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45" x14ac:dyDescent="0.4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45" x14ac:dyDescent="0.4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45" x14ac:dyDescent="0.4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45" x14ac:dyDescent="0.4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45" x14ac:dyDescent="0.4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45" x14ac:dyDescent="0.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45" x14ac:dyDescent="0.4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45" x14ac:dyDescent="0.4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45" x14ac:dyDescent="0.4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45" x14ac:dyDescent="0.4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45" x14ac:dyDescent="0.4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45" x14ac:dyDescent="0.4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45" x14ac:dyDescent="0.4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45" x14ac:dyDescent="0.4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45" x14ac:dyDescent="0.4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45" x14ac:dyDescent="0.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45" x14ac:dyDescent="0.4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45" x14ac:dyDescent="0.4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45" x14ac:dyDescent="0.4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45" x14ac:dyDescent="0.4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45" x14ac:dyDescent="0.4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45" x14ac:dyDescent="0.4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45" x14ac:dyDescent="0.4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45" x14ac:dyDescent="0.4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45" x14ac:dyDescent="0.4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45" x14ac:dyDescent="0.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45" x14ac:dyDescent="0.4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45" x14ac:dyDescent="0.4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45" x14ac:dyDescent="0.4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45" x14ac:dyDescent="0.4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45" x14ac:dyDescent="0.4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45" x14ac:dyDescent="0.4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45" x14ac:dyDescent="0.4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45" x14ac:dyDescent="0.4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45" x14ac:dyDescent="0.4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45" x14ac:dyDescent="0.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45" x14ac:dyDescent="0.4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45" x14ac:dyDescent="0.4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45" x14ac:dyDescent="0.4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45" x14ac:dyDescent="0.4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45" x14ac:dyDescent="0.4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45" x14ac:dyDescent="0.4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45" x14ac:dyDescent="0.4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45" x14ac:dyDescent="0.4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45" x14ac:dyDescent="0.4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45" x14ac:dyDescent="0.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45" x14ac:dyDescent="0.4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45" x14ac:dyDescent="0.4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45" x14ac:dyDescent="0.4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45" x14ac:dyDescent="0.4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45" x14ac:dyDescent="0.4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45" x14ac:dyDescent="0.4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45" x14ac:dyDescent="0.4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45" x14ac:dyDescent="0.4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45" x14ac:dyDescent="0.4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45" x14ac:dyDescent="0.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45" x14ac:dyDescent="0.4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45" x14ac:dyDescent="0.4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45" x14ac:dyDescent="0.4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45" x14ac:dyDescent="0.4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45" x14ac:dyDescent="0.4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45" x14ac:dyDescent="0.4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45" x14ac:dyDescent="0.4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45" x14ac:dyDescent="0.4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45" x14ac:dyDescent="0.4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45" x14ac:dyDescent="0.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45" x14ac:dyDescent="0.4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45" x14ac:dyDescent="0.4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45" x14ac:dyDescent="0.4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45" x14ac:dyDescent="0.4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45" x14ac:dyDescent="0.4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45" x14ac:dyDescent="0.4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45" x14ac:dyDescent="0.4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45" x14ac:dyDescent="0.4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45" x14ac:dyDescent="0.4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45" x14ac:dyDescent="0.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45" x14ac:dyDescent="0.4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45" x14ac:dyDescent="0.4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45" x14ac:dyDescent="0.4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45" x14ac:dyDescent="0.4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45" x14ac:dyDescent="0.4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45" x14ac:dyDescent="0.4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45" x14ac:dyDescent="0.4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45" x14ac:dyDescent="0.4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45" x14ac:dyDescent="0.4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45" x14ac:dyDescent="0.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45" x14ac:dyDescent="0.4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45" x14ac:dyDescent="0.4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45" x14ac:dyDescent="0.4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45" x14ac:dyDescent="0.4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45" x14ac:dyDescent="0.4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45" x14ac:dyDescent="0.4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45" x14ac:dyDescent="0.4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45" x14ac:dyDescent="0.4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45" x14ac:dyDescent="0.4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45" x14ac:dyDescent="0.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45" x14ac:dyDescent="0.4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45" x14ac:dyDescent="0.4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45" x14ac:dyDescent="0.4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45" x14ac:dyDescent="0.4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45" x14ac:dyDescent="0.4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45" x14ac:dyDescent="0.4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45" x14ac:dyDescent="0.4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45" x14ac:dyDescent="0.4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45" x14ac:dyDescent="0.4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45" x14ac:dyDescent="0.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45" x14ac:dyDescent="0.4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45" x14ac:dyDescent="0.4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45" x14ac:dyDescent="0.4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45" x14ac:dyDescent="0.4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45" x14ac:dyDescent="0.4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45" x14ac:dyDescent="0.4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45" x14ac:dyDescent="0.4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45" x14ac:dyDescent="0.4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45" x14ac:dyDescent="0.4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45" x14ac:dyDescent="0.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45" x14ac:dyDescent="0.4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45" x14ac:dyDescent="0.4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45" x14ac:dyDescent="0.4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45" x14ac:dyDescent="0.4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45" x14ac:dyDescent="0.4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45" x14ac:dyDescent="0.4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45" x14ac:dyDescent="0.4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45" x14ac:dyDescent="0.4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45" x14ac:dyDescent="0.4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45" x14ac:dyDescent="0.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45" x14ac:dyDescent="0.4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45" x14ac:dyDescent="0.4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45" x14ac:dyDescent="0.4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45" x14ac:dyDescent="0.4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45" x14ac:dyDescent="0.4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45" x14ac:dyDescent="0.4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45" x14ac:dyDescent="0.4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45" x14ac:dyDescent="0.4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45" x14ac:dyDescent="0.4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45" x14ac:dyDescent="0.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45" x14ac:dyDescent="0.4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45" x14ac:dyDescent="0.4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45" x14ac:dyDescent="0.4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45" x14ac:dyDescent="0.4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45" x14ac:dyDescent="0.4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45" x14ac:dyDescent="0.4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1:26" ht="15.45" x14ac:dyDescent="0.4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1:26" ht="15.45" x14ac:dyDescent="0.4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1:26" ht="15.45" x14ac:dyDescent="0.4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spans="1:26" ht="15.45" x14ac:dyDescent="0.4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spans="1:26" ht="15.45" x14ac:dyDescent="0.4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</sheetData>
  <hyperlinks>
    <hyperlink ref="A9" r:id="rId1" xr:uid="{00000000-0004-0000-0200-000000000000}"/>
    <hyperlink ref="A11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988"/>
  <sheetViews>
    <sheetView workbookViewId="0"/>
  </sheetViews>
  <sheetFormatPr baseColWidth="10" defaultColWidth="14.4609375" defaultRowHeight="15.75" customHeight="1" x14ac:dyDescent="0.3"/>
  <cols>
    <col min="1" max="1" width="41.3046875" customWidth="1"/>
    <col min="4" max="4" width="35.4609375" customWidth="1"/>
  </cols>
  <sheetData>
    <row r="1" spans="1:6" ht="15.75" customHeight="1" x14ac:dyDescent="0.3">
      <c r="A1" s="31" t="s">
        <v>163</v>
      </c>
      <c r="B1" s="31" t="s">
        <v>164</v>
      </c>
      <c r="C1" s="31" t="s">
        <v>165</v>
      </c>
      <c r="D1" s="31" t="s">
        <v>166</v>
      </c>
      <c r="E1" s="31" t="s">
        <v>9</v>
      </c>
      <c r="F1" s="32" t="s">
        <v>8</v>
      </c>
    </row>
    <row r="2" spans="1:6" ht="15.75" customHeight="1" x14ac:dyDescent="0.3">
      <c r="A2" t="s">
        <v>167</v>
      </c>
      <c r="B2" t="s">
        <v>168</v>
      </c>
      <c r="C2" t="str">
        <f ca="1">IFERROR(__xludf.DUMMYFUNCTION("LEFT(INDEX(IMPORTHTML(CONCATENATE(""https://finance.yahoo.com/quote/"",$B2),""table"",2),6,2),4)"),"5.92")</f>
        <v>5.92</v>
      </c>
      <c r="D2" s="33" t="str">
        <f t="shared" ref="D2:D66" si="0">CONCATENATE("https://finance.yahoo.com/quote/",$B2)</f>
        <v>https://finance.yahoo.com/quote/MMM</v>
      </c>
      <c r="E2">
        <f ca="1">IFERROR(__xludf.DUMMYFUNCTION("GOOGLEFINANCE(B2)"),198.27)</f>
        <v>198.27</v>
      </c>
      <c r="F2" s="34" t="e">
        <f t="shared" ref="F2:F66" ca="1" si="1">C2/E2</f>
        <v>#VALUE!</v>
      </c>
    </row>
    <row r="3" spans="1:6" ht="15.75" customHeight="1" x14ac:dyDescent="0.3">
      <c r="A3" t="s">
        <v>169</v>
      </c>
      <c r="B3" t="s">
        <v>170</v>
      </c>
      <c r="C3" s="31">
        <v>1.04</v>
      </c>
      <c r="D3" s="33" t="str">
        <f t="shared" si="0"/>
        <v>https://finance.yahoo.com/quote/AOS</v>
      </c>
      <c r="E3">
        <f ca="1">IFERROR(__xludf.DUMMYFUNCTION("GOOGLEFINANCE(B3)"),71.11)</f>
        <v>71.11</v>
      </c>
      <c r="F3" s="34">
        <f t="shared" ca="1" si="1"/>
        <v>1.4625228519195612E-2</v>
      </c>
    </row>
    <row r="4" spans="1:6" ht="15.75" customHeight="1" x14ac:dyDescent="0.3">
      <c r="A4" t="s">
        <v>171</v>
      </c>
      <c r="B4" t="s">
        <v>172</v>
      </c>
      <c r="C4" t="str">
        <f ca="1">IFERROR(__xludf.DUMMYFUNCTION("LEFT(INDEX(IMPORTHTML(CONCATENATE(""https://finance.yahoo.com/quote/"",$B4),""table"",2),6,2),4)"),"1.80")</f>
        <v>1.80</v>
      </c>
      <c r="D4" s="33" t="str">
        <f t="shared" si="0"/>
        <v>https://finance.yahoo.com/quote/ABT</v>
      </c>
      <c r="E4">
        <f ca="1">IFERROR(__xludf.DUMMYFUNCTION("GOOGLEFINANCE(B4)"),118.44)</f>
        <v>118.44</v>
      </c>
      <c r="F4" s="34" t="e">
        <f t="shared" ca="1" si="1"/>
        <v>#VALUE!</v>
      </c>
    </row>
    <row r="5" spans="1:6" ht="15.75" customHeight="1" x14ac:dyDescent="0.3">
      <c r="A5" t="s">
        <v>173</v>
      </c>
      <c r="B5" t="s">
        <v>174</v>
      </c>
      <c r="C5" t="str">
        <f ca="1">IFERROR(__xludf.DUMMYFUNCTION("LEFT(INDEX(IMPORTHTML(CONCATENATE(""https://finance.yahoo.com/quote/"",$B5),""table"",2),6,2),4)"),"5.20")</f>
        <v>5.20</v>
      </c>
      <c r="D5" s="33" t="str">
        <f t="shared" si="0"/>
        <v>https://finance.yahoo.com/quote/ABBV</v>
      </c>
      <c r="E5">
        <f ca="1">IFERROR(__xludf.DUMMYFUNCTION("GOOGLEFINANCE(B5)"),116.06)</f>
        <v>116.06</v>
      </c>
      <c r="F5" s="34" t="e">
        <f t="shared" ca="1" si="1"/>
        <v>#VALUE!</v>
      </c>
    </row>
    <row r="6" spans="1:6" ht="15.75" customHeight="1" x14ac:dyDescent="0.3">
      <c r="A6" t="s">
        <v>175</v>
      </c>
      <c r="B6" t="s">
        <v>176</v>
      </c>
      <c r="C6" t="str">
        <f ca="1">IFERROR(__xludf.DUMMYFUNCTION("LEFT(INDEX(IMPORTHTML(CONCATENATE(""https://finance.yahoo.com/quote/"",$B6),""table"",2),6,2),4)"),"1.32")</f>
        <v>1.32</v>
      </c>
      <c r="D6" s="33" t="str">
        <f t="shared" si="0"/>
        <v>https://finance.yahoo.com/quote/AFL</v>
      </c>
      <c r="E6">
        <f ca="1">IFERROR(__xludf.DUMMYFUNCTION("GOOGLEFINANCE(B6)"),52.73)</f>
        <v>52.73</v>
      </c>
      <c r="F6" s="34" t="e">
        <f t="shared" ca="1" si="1"/>
        <v>#VALUE!</v>
      </c>
    </row>
    <row r="7" spans="1:6" ht="15.75" customHeight="1" x14ac:dyDescent="0.3">
      <c r="A7" t="s">
        <v>177</v>
      </c>
      <c r="B7" t="s">
        <v>178</v>
      </c>
      <c r="C7" t="str">
        <f ca="1">IFERROR(__xludf.DUMMYFUNCTION("LEFT(INDEX(IMPORTHTML(CONCATENATE(""https://finance.yahoo.com/quote/"",$B7),""table"",2),6,2),4)"),"6.00")</f>
        <v>6.00</v>
      </c>
      <c r="D7" s="33" t="str">
        <f t="shared" si="0"/>
        <v>https://finance.yahoo.com/quote/APD</v>
      </c>
      <c r="E7">
        <f ca="1">IFERROR(__xludf.DUMMYFUNCTION("GOOGLEFINANCE(B7)"),285.58)</f>
        <v>285.58</v>
      </c>
      <c r="F7" s="34" t="e">
        <f t="shared" ca="1" si="1"/>
        <v>#VALUE!</v>
      </c>
    </row>
    <row r="8" spans="1:6" ht="15.75" customHeight="1" x14ac:dyDescent="0.3">
      <c r="A8" t="s">
        <v>179</v>
      </c>
      <c r="B8" t="s">
        <v>180</v>
      </c>
      <c r="C8" t="str">
        <f ca="1">IFERROR(__xludf.DUMMYFUNCTION("LEFT(INDEX(IMPORTHTML(CONCATENATE(""https://finance.yahoo.com/quote/"",$B8),""table"",2),6,2),4)"),"1.48")</f>
        <v>1.48</v>
      </c>
      <c r="D8" s="33" t="str">
        <f t="shared" si="0"/>
        <v>https://finance.yahoo.com/quote/ADM</v>
      </c>
      <c r="E8">
        <f ca="1">IFERROR(__xludf.DUMMYFUNCTION("GOOGLEFINANCE(B8)"),59.35)</f>
        <v>59.35</v>
      </c>
      <c r="F8" s="34" t="e">
        <f t="shared" ca="1" si="1"/>
        <v>#VALUE!</v>
      </c>
    </row>
    <row r="9" spans="1:6" ht="15.75" customHeight="1" x14ac:dyDescent="0.3">
      <c r="A9" t="s">
        <v>181</v>
      </c>
      <c r="B9" t="s">
        <v>182</v>
      </c>
      <c r="C9" t="str">
        <f ca="1">IFERROR(__xludf.DUMMYFUNCTION("LEFT(INDEX(IMPORTHTML(CONCATENATE(""https://finance.yahoo.com/quote/"",$B9),""table"",2),6,2),4)"),"2.08")</f>
        <v>2.08</v>
      </c>
      <c r="D9" s="33" t="str">
        <f t="shared" si="0"/>
        <v>https://finance.yahoo.com/quote/T</v>
      </c>
      <c r="E9">
        <f ca="1">IFERROR(__xludf.DUMMYFUNCTION("GOOGLEFINANCE(B9)"),28.2)</f>
        <v>28.2</v>
      </c>
      <c r="F9" s="34" t="e">
        <f t="shared" ca="1" si="1"/>
        <v>#VALUE!</v>
      </c>
    </row>
    <row r="10" spans="1:6" ht="15.75" customHeight="1" x14ac:dyDescent="0.3">
      <c r="A10" t="s">
        <v>183</v>
      </c>
      <c r="B10" t="s">
        <v>184</v>
      </c>
      <c r="C10" t="str">
        <f ca="1">IFERROR(__xludf.DUMMYFUNCTION("LEFT(INDEX(IMPORTHTML(CONCATENATE(""https://finance.yahoo.com/quote/"",$B10),""table"",2),6,2),4)"),"3.72")</f>
        <v>3.72</v>
      </c>
      <c r="D10" s="33" t="str">
        <f t="shared" si="0"/>
        <v>https://finance.yahoo.com/quote/ADP</v>
      </c>
      <c r="E10">
        <f ca="1">IFERROR(__xludf.DUMMYFUNCTION("GOOGLEFINANCE(B10)"),201.39)</f>
        <v>201.39</v>
      </c>
      <c r="F10" s="34" t="e">
        <f t="shared" ca="1" si="1"/>
        <v>#VALUE!</v>
      </c>
    </row>
    <row r="11" spans="1:6" ht="15.75" customHeight="1" x14ac:dyDescent="0.3">
      <c r="A11" t="s">
        <v>185</v>
      </c>
      <c r="B11" t="s">
        <v>186</v>
      </c>
      <c r="C11" t="str">
        <f ca="1">IFERROR(__xludf.DUMMYFUNCTION("LEFT(INDEX(IMPORTHTML(CONCATENATE(""https://finance.yahoo.com/quote/"",$B11),""table"",2),6,2),4)"),"3.32")</f>
        <v>3.32</v>
      </c>
      <c r="D11" s="33" t="str">
        <f t="shared" si="0"/>
        <v>https://finance.yahoo.com/quote/BDX</v>
      </c>
      <c r="E11">
        <f ca="1">IFERROR(__xludf.DUMMYFUNCTION("GOOGLEFINANCE(B11)"),249.68)</f>
        <v>249.68</v>
      </c>
      <c r="F11" s="34" t="e">
        <f t="shared" ca="1" si="1"/>
        <v>#VALUE!</v>
      </c>
    </row>
    <row r="12" spans="1:6" ht="15.75" customHeight="1" x14ac:dyDescent="0.3">
      <c r="A12" t="s">
        <v>187</v>
      </c>
      <c r="B12" t="s">
        <v>188</v>
      </c>
      <c r="C12" s="31">
        <v>0.72</v>
      </c>
      <c r="D12" s="33" t="str">
        <f t="shared" si="0"/>
        <v>https://finance.yahoo.com/quote/BF.B</v>
      </c>
      <c r="E12">
        <f ca="1">IFERROR(__xludf.DUMMYFUNCTION("GOOGLEFINANCE(B12)"),73.8)</f>
        <v>73.8</v>
      </c>
      <c r="F12" s="34">
        <f t="shared" ca="1" si="1"/>
        <v>9.7560975609756097E-3</v>
      </c>
    </row>
    <row r="13" spans="1:6" ht="15.75" customHeight="1" x14ac:dyDescent="0.3">
      <c r="A13" t="s">
        <v>189</v>
      </c>
      <c r="B13" t="s">
        <v>190</v>
      </c>
      <c r="C13" t="str">
        <f ca="1">IFERROR(__xludf.DUMMYFUNCTION("LEFT(INDEX(IMPORTHTML(CONCATENATE(""https://finance.yahoo.com/quote/"",$B13),""table"",2),6,2),4)"),"1.96")</f>
        <v>1.96</v>
      </c>
      <c r="D13" s="33" t="str">
        <f t="shared" si="0"/>
        <v>https://finance.yahoo.com/quote/CAH</v>
      </c>
      <c r="E13">
        <f ca="1">IFERROR(__xludf.DUMMYFUNCTION("GOOGLEFINANCE(B13)"),56.47)</f>
        <v>56.47</v>
      </c>
      <c r="F13" s="34" t="e">
        <f t="shared" ca="1" si="1"/>
        <v>#VALUE!</v>
      </c>
    </row>
    <row r="14" spans="1:6" ht="15.75" customHeight="1" x14ac:dyDescent="0.3">
      <c r="A14" t="s">
        <v>191</v>
      </c>
      <c r="B14" t="s">
        <v>192</v>
      </c>
      <c r="C14" t="str">
        <f ca="1">IFERROR(__xludf.DUMMYFUNCTION("LEFT(INDEX(IMPORTHTML(CONCATENATE(""https://finance.yahoo.com/quote/"",$B14),""table"",2),6,2),4)"),"4.44")</f>
        <v>4.44</v>
      </c>
      <c r="D14" s="33" t="str">
        <f t="shared" si="0"/>
        <v>https://finance.yahoo.com/quote/CAT</v>
      </c>
      <c r="E14">
        <f ca="1">IFERROR(__xludf.DUMMYFUNCTION("GOOGLEFINANCE(B14)"),212.4)</f>
        <v>212.4</v>
      </c>
      <c r="F14" s="34" t="e">
        <f t="shared" ca="1" si="1"/>
        <v>#VALUE!</v>
      </c>
    </row>
    <row r="15" spans="1:6" ht="15.75" customHeight="1" x14ac:dyDescent="0.3">
      <c r="A15" t="s">
        <v>193</v>
      </c>
      <c r="B15" t="s">
        <v>194</v>
      </c>
      <c r="C15" t="str">
        <f ca="1">IFERROR(__xludf.DUMMYFUNCTION("LEFT(INDEX(IMPORTHTML(CONCATENATE(""https://finance.yahoo.com/quote/"",$B15),""table"",2),6,2),4)"),"3.20")</f>
        <v>3.20</v>
      </c>
      <c r="D15" s="33" t="str">
        <f t="shared" si="0"/>
        <v>https://finance.yahoo.com/quote/CB</v>
      </c>
      <c r="E15">
        <f ca="1">IFERROR(__xludf.DUMMYFUNCTION("GOOGLEFINANCE(B15)"),159.17)</f>
        <v>159.16999999999999</v>
      </c>
      <c r="F15" s="34" t="e">
        <f t="shared" ca="1" si="1"/>
        <v>#VALUE!</v>
      </c>
    </row>
    <row r="16" spans="1:6" ht="15.75" customHeight="1" x14ac:dyDescent="0.3">
      <c r="A16" t="s">
        <v>195</v>
      </c>
      <c r="B16" t="s">
        <v>196</v>
      </c>
      <c r="C16" t="str">
        <f ca="1">IFERROR(__xludf.DUMMYFUNCTION("LEFT(INDEX(IMPORTHTML(CONCATENATE(""https://finance.yahoo.com/quote/"",$B16),""table"",2),6,2),4)"),"5.36")</f>
        <v>5.36</v>
      </c>
      <c r="D16" s="33" t="str">
        <f t="shared" si="0"/>
        <v>https://finance.yahoo.com/quote/CVX</v>
      </c>
      <c r="E16">
        <f ca="1">IFERROR(__xludf.DUMMYFUNCTION("GOOGLEFINANCE(B16)"),102.76)</f>
        <v>102.76</v>
      </c>
      <c r="F16" s="34" t="e">
        <f t="shared" ca="1" si="1"/>
        <v>#VALUE!</v>
      </c>
    </row>
    <row r="17" spans="1:6" ht="15.75" customHeight="1" x14ac:dyDescent="0.3">
      <c r="A17" t="s">
        <v>197</v>
      </c>
      <c r="B17" t="s">
        <v>198</v>
      </c>
      <c r="C17" t="str">
        <f ca="1">IFERROR(__xludf.DUMMYFUNCTION("LEFT(INDEX(IMPORTHTML(CONCATENATE(""https://finance.yahoo.com/quote/"",$B17),""table"",2),6,2),4)"),"2.52")</f>
        <v>2.52</v>
      </c>
      <c r="D17" s="33" t="str">
        <f t="shared" si="0"/>
        <v>https://finance.yahoo.com/quote/CINF</v>
      </c>
      <c r="E17">
        <f ca="1">IFERROR(__xludf.DUMMYFUNCTION("GOOGLEFINANCE(B17)"),114.42)</f>
        <v>114.42</v>
      </c>
      <c r="F17" s="34" t="e">
        <f t="shared" ca="1" si="1"/>
        <v>#VALUE!</v>
      </c>
    </row>
    <row r="18" spans="1:6" ht="15.75" customHeight="1" x14ac:dyDescent="0.3">
      <c r="A18" t="s">
        <v>199</v>
      </c>
      <c r="B18" t="s">
        <v>200</v>
      </c>
      <c r="C18" s="31">
        <v>3</v>
      </c>
      <c r="D18" s="33" t="str">
        <f t="shared" si="0"/>
        <v>https://finance.yahoo.com/quote/CTAS</v>
      </c>
      <c r="E18">
        <f ca="1">IFERROR(__xludf.DUMMYFUNCTION("GOOGLEFINANCE(B18)"),387.31)</f>
        <v>387.31</v>
      </c>
      <c r="F18" s="34">
        <f t="shared" ca="1" si="1"/>
        <v>7.7457333918566525E-3</v>
      </c>
    </row>
    <row r="19" spans="1:6" ht="15.75" customHeight="1" x14ac:dyDescent="0.3">
      <c r="A19" t="s">
        <v>201</v>
      </c>
      <c r="B19" t="s">
        <v>202</v>
      </c>
      <c r="C19" t="str">
        <f ca="1">IFERROR(__xludf.DUMMYFUNCTION("LEFT(INDEX(IMPORTHTML(CONCATENATE(""https://finance.yahoo.com/quote/"",$B19),""table"",2),6,2),4)"),"4.64")</f>
        <v>4.64</v>
      </c>
      <c r="D19" s="33" t="str">
        <f t="shared" si="0"/>
        <v>https://finance.yahoo.com/quote/CLX</v>
      </c>
      <c r="E19">
        <f ca="1">IFERROR(__xludf.DUMMYFUNCTION("GOOGLEFINANCE(B19)"),183.27)</f>
        <v>183.27</v>
      </c>
      <c r="F19" s="34" t="e">
        <f t="shared" ca="1" si="1"/>
        <v>#VALUE!</v>
      </c>
    </row>
    <row r="20" spans="1:6" ht="15.75" customHeight="1" x14ac:dyDescent="0.3">
      <c r="A20" t="s">
        <v>203</v>
      </c>
      <c r="B20" t="s">
        <v>204</v>
      </c>
      <c r="C20" t="str">
        <f ca="1">IFERROR(__xludf.DUMMYFUNCTION("LEFT(INDEX(IMPORTHTML(CONCATENATE(""https://finance.yahoo.com/quote/"",$B20),""table"",2),6,2),4)"),"1.68")</f>
        <v>1.68</v>
      </c>
      <c r="D20" s="33" t="str">
        <f t="shared" si="0"/>
        <v>https://finance.yahoo.com/quote/KO</v>
      </c>
      <c r="E20">
        <f ca="1">IFERROR(__xludf.DUMMYFUNCTION("GOOGLEFINANCE(B20)"),53.96)</f>
        <v>53.96</v>
      </c>
      <c r="F20" s="34" t="e">
        <f t="shared" ca="1" si="1"/>
        <v>#VALUE!</v>
      </c>
    </row>
    <row r="21" spans="1:6" ht="15.75" customHeight="1" x14ac:dyDescent="0.3">
      <c r="A21" t="s">
        <v>205</v>
      </c>
      <c r="B21" t="s">
        <v>206</v>
      </c>
      <c r="C21" t="str">
        <f ca="1">IFERROR(__xludf.DUMMYFUNCTION("LEFT(INDEX(IMPORTHTML(CONCATENATE(""https://finance.yahoo.com/quote/"",$B21),""table"",2),6,2),4)"),"1.80")</f>
        <v>1.80</v>
      </c>
      <c r="D21" s="33" t="str">
        <f t="shared" si="0"/>
        <v>https://finance.yahoo.com/quote/CL</v>
      </c>
      <c r="E21">
        <f ca="1">IFERROR(__xludf.DUMMYFUNCTION("GOOGLEFINANCE(B21)"),82.22)</f>
        <v>82.22</v>
      </c>
      <c r="F21" s="34" t="e">
        <f t="shared" ca="1" si="1"/>
        <v>#VALUE!</v>
      </c>
    </row>
    <row r="22" spans="1:6" ht="15.75" customHeight="1" x14ac:dyDescent="0.3">
      <c r="A22" t="s">
        <v>207</v>
      </c>
      <c r="B22" t="s">
        <v>208</v>
      </c>
      <c r="C22" t="str">
        <f ca="1">IFERROR(__xludf.DUMMYFUNCTION("LEFT(INDEX(IMPORTHTML(CONCATENATE(""https://finance.yahoo.com/quote/"",$B22),""table"",2),6,2),4)"),"3.10")</f>
        <v>3.10</v>
      </c>
      <c r="D22" s="33" t="str">
        <f t="shared" si="0"/>
        <v>https://finance.yahoo.com/quote/ED</v>
      </c>
      <c r="E22">
        <f ca="1">IFERROR(__xludf.DUMMYFUNCTION("GOOGLEFINANCE(B22)"),73.89)</f>
        <v>73.89</v>
      </c>
      <c r="F22" s="34" t="e">
        <f t="shared" ca="1" si="1"/>
        <v>#VALUE!</v>
      </c>
    </row>
    <row r="23" spans="1:6" ht="15.75" customHeight="1" x14ac:dyDescent="0.3">
      <c r="A23" t="s">
        <v>209</v>
      </c>
      <c r="B23" t="s">
        <v>210</v>
      </c>
      <c r="C23" t="str">
        <f ca="1">IFERROR(__xludf.DUMMYFUNCTION("LEFT(INDEX(IMPORTHTML(CONCATENATE(""https://finance.yahoo.com/quote/"",$B23),""table"",2),6,2),4)"),"1.98")</f>
        <v>1.98</v>
      </c>
      <c r="D23" s="33" t="str">
        <f t="shared" si="0"/>
        <v>https://finance.yahoo.com/quote/DOV</v>
      </c>
      <c r="E23">
        <f ca="1">IFERROR(__xludf.DUMMYFUNCTION("GOOGLEFINANCE(B23)"),151.27)</f>
        <v>151.27000000000001</v>
      </c>
      <c r="F23" s="34" t="e">
        <f t="shared" ca="1" si="1"/>
        <v>#VALUE!</v>
      </c>
    </row>
    <row r="24" spans="1:6" ht="15.75" customHeight="1" x14ac:dyDescent="0.3">
      <c r="A24" t="s">
        <v>211</v>
      </c>
      <c r="B24" t="s">
        <v>212</v>
      </c>
      <c r="C24" t="str">
        <f ca="1">IFERROR(__xludf.DUMMYFUNCTION("LEFT(INDEX(IMPORTHTML(CONCATENATE(""https://finance.yahoo.com/quote/"",$B24),""table"",2),6,2),4)"),"1.92")</f>
        <v>1.92</v>
      </c>
      <c r="D24" s="33" t="str">
        <f t="shared" si="0"/>
        <v>https://finance.yahoo.com/quote/ECL</v>
      </c>
      <c r="E24">
        <f ca="1">IFERROR(__xludf.DUMMYFUNCTION("GOOGLEFINANCE(B24)"),209.05)</f>
        <v>209.05</v>
      </c>
      <c r="F24" s="34" t="e">
        <f t="shared" ca="1" si="1"/>
        <v>#VALUE!</v>
      </c>
    </row>
    <row r="25" spans="1:6" ht="15.75" customHeight="1" x14ac:dyDescent="0.3">
      <c r="A25" t="s">
        <v>213</v>
      </c>
      <c r="B25" t="s">
        <v>214</v>
      </c>
      <c r="C25" t="str">
        <f ca="1">IFERROR(__xludf.DUMMYFUNCTION("LEFT(INDEX(IMPORTHTML(CONCATENATE(""https://finance.yahoo.com/quote/"",$B25),""table"",2),6,2),4)"),"2.02")</f>
        <v>2.02</v>
      </c>
      <c r="D25" s="33" t="str">
        <f t="shared" si="0"/>
        <v>https://finance.yahoo.com/quote/EMR</v>
      </c>
      <c r="E25">
        <f ca="1">IFERROR(__xludf.DUMMYFUNCTION("GOOGLEFINANCE(B25)"),95.67)</f>
        <v>95.67</v>
      </c>
      <c r="F25" s="34" t="e">
        <f t="shared" ca="1" si="1"/>
        <v>#VALUE!</v>
      </c>
    </row>
    <row r="26" spans="1:6" ht="15.75" customHeight="1" x14ac:dyDescent="0.3">
      <c r="A26" t="s">
        <v>215</v>
      </c>
      <c r="B26" t="s">
        <v>216</v>
      </c>
      <c r="C26" t="str">
        <f ca="1">IFERROR(__xludf.DUMMYFUNCTION("LEFT(INDEX(IMPORTHTML(CONCATENATE(""https://finance.yahoo.com/quote/"",$B26),""table"",2),6,2),4)"),"3.48")</f>
        <v>3.48</v>
      </c>
      <c r="D26" s="33" t="str">
        <f t="shared" si="0"/>
        <v>https://finance.yahoo.com/quote/XOM</v>
      </c>
      <c r="E26">
        <f ca="1">IFERROR(__xludf.DUMMYFUNCTION("GOOGLEFINANCE(B26)"),60.51)</f>
        <v>60.51</v>
      </c>
      <c r="F26" s="34" t="e">
        <f t="shared" ca="1" si="1"/>
        <v>#VALUE!</v>
      </c>
    </row>
    <row r="27" spans="1:6" ht="12.45" x14ac:dyDescent="0.3">
      <c r="A27" t="s">
        <v>217</v>
      </c>
      <c r="B27" t="s">
        <v>218</v>
      </c>
      <c r="C27" t="str">
        <f ca="1">IFERROR(__xludf.DUMMYFUNCTION("LEFT(INDEX(IMPORTHTML(CONCATENATE(""https://finance.yahoo.com/quote/"",$B27),""table"",2),6,2),4)"),"4.24")</f>
        <v>4.24</v>
      </c>
      <c r="D27" s="33" t="str">
        <f t="shared" si="0"/>
        <v>https://finance.yahoo.com/quote/FRT</v>
      </c>
      <c r="E27">
        <f ca="1">IFERROR(__xludf.DUMMYFUNCTION("GOOGLEFINANCE(B27)"),114.82)</f>
        <v>114.82</v>
      </c>
      <c r="F27" s="34" t="e">
        <f t="shared" ca="1" si="1"/>
        <v>#VALUE!</v>
      </c>
    </row>
    <row r="28" spans="1:6" ht="12.45" x14ac:dyDescent="0.3">
      <c r="A28" t="s">
        <v>219</v>
      </c>
      <c r="B28" t="s">
        <v>220</v>
      </c>
      <c r="C28" t="str">
        <f ca="1">IFERROR(__xludf.DUMMYFUNCTION("LEFT(INDEX(IMPORTHTML(CONCATENATE(""https://finance.yahoo.com/quote/"",$B28),""table"",2),6,2),4)"),"1.12")</f>
        <v>1.12</v>
      </c>
      <c r="D28" s="33" t="str">
        <f t="shared" si="0"/>
        <v>https://finance.yahoo.com/quote/BEN</v>
      </c>
      <c r="E28">
        <f ca="1">IFERROR(__xludf.DUMMYFUNCTION("GOOGLEFINANCE(B28)"),31.37)</f>
        <v>31.37</v>
      </c>
      <c r="F28" s="34" t="e">
        <f t="shared" ca="1" si="1"/>
        <v>#VALUE!</v>
      </c>
    </row>
    <row r="29" spans="1:6" ht="12.45" x14ac:dyDescent="0.3">
      <c r="A29" t="s">
        <v>221</v>
      </c>
      <c r="B29" t="s">
        <v>222</v>
      </c>
      <c r="C29" t="str">
        <f ca="1">IFERROR(__xludf.DUMMYFUNCTION("LEFT(INDEX(IMPORTHTML(CONCATENATE(""https://finance.yahoo.com/quote/"",$B29),""table"",2),6,2),4)"),"4.76")</f>
        <v>4.76</v>
      </c>
      <c r="D29" s="33" t="str">
        <f t="shared" si="0"/>
        <v>https://finance.yahoo.com/quote/GD</v>
      </c>
      <c r="E29">
        <f ca="1">IFERROR(__xludf.DUMMYFUNCTION("GOOGLEFINANCE(B29)"),188.73)</f>
        <v>188.73</v>
      </c>
      <c r="F29" s="34" t="e">
        <f t="shared" ca="1" si="1"/>
        <v>#VALUE!</v>
      </c>
    </row>
    <row r="30" spans="1:6" ht="12.45" x14ac:dyDescent="0.3">
      <c r="A30" t="s">
        <v>223</v>
      </c>
      <c r="B30" t="s">
        <v>224</v>
      </c>
      <c r="C30" t="str">
        <f ca="1">IFERROR(__xludf.DUMMYFUNCTION("LEFT(INDEX(IMPORTHTML(CONCATENATE(""https://finance.yahoo.com/quote/"",$B30),""table"",2),6,2),4)"),"3.26")</f>
        <v>3.26</v>
      </c>
      <c r="D30" s="33" t="str">
        <f t="shared" si="0"/>
        <v>https://finance.yahoo.com/quote/GPC</v>
      </c>
      <c r="E30">
        <f ca="1">IFERROR(__xludf.DUMMYFUNCTION("GOOGLEFINANCE(B30)"),127.15)</f>
        <v>127.15</v>
      </c>
      <c r="F30" s="34" t="e">
        <f t="shared" ca="1" si="1"/>
        <v>#VALUE!</v>
      </c>
    </row>
    <row r="31" spans="1:6" ht="12.45" x14ac:dyDescent="0.3">
      <c r="A31" t="s">
        <v>225</v>
      </c>
      <c r="B31" t="s">
        <v>226</v>
      </c>
      <c r="C31" t="str">
        <f ca="1">IFERROR(__xludf.DUMMYFUNCTION("LEFT(INDEX(IMPORTHTML(CONCATENATE(""https://finance.yahoo.com/quote/"",$B31),""table"",2),6,2),4)"),"0.98")</f>
        <v>0.98</v>
      </c>
      <c r="D31" s="33" t="str">
        <f t="shared" si="0"/>
        <v>https://finance.yahoo.com/quote/HRL</v>
      </c>
      <c r="E31">
        <f ca="1">IFERROR(__xludf.DUMMYFUNCTION("GOOGLEFINANCE(B31)"),48.05)</f>
        <v>48.05</v>
      </c>
      <c r="F31" s="34" t="e">
        <f t="shared" ca="1" si="1"/>
        <v>#VALUE!</v>
      </c>
    </row>
    <row r="32" spans="1:6" ht="12.45" x14ac:dyDescent="0.3">
      <c r="A32" t="s">
        <v>227</v>
      </c>
      <c r="B32" t="s">
        <v>228</v>
      </c>
      <c r="C32" t="str">
        <f ca="1">IFERROR(__xludf.DUMMYFUNCTION("LEFT(INDEX(IMPORTHTML(CONCATENATE(""https://finance.yahoo.com/quote/"",$B32),""table"",2),6,2),4)"),"4.56")</f>
        <v>4.56</v>
      </c>
      <c r="D32" s="33" t="str">
        <f t="shared" si="0"/>
        <v>https://finance.yahoo.com/quote/ITW</v>
      </c>
      <c r="E32">
        <f ca="1">IFERROR(__xludf.DUMMYFUNCTION("GOOGLEFINANCE(B32)"),222.99)</f>
        <v>222.99</v>
      </c>
      <c r="F32" s="34" t="e">
        <f t="shared" ca="1" si="1"/>
        <v>#VALUE!</v>
      </c>
    </row>
    <row r="33" spans="1:6" ht="12.45" x14ac:dyDescent="0.3">
      <c r="A33" t="s">
        <v>229</v>
      </c>
      <c r="B33" t="s">
        <v>230</v>
      </c>
      <c r="C33" t="str">
        <f ca="1">IFERROR(__xludf.DUMMYFUNCTION("LEFT(INDEX(IMPORTHTML(CONCATENATE(""https://finance.yahoo.com/quote/"",$B33),""table"",2),6,2),4)"),"4.24")</f>
        <v>4.24</v>
      </c>
      <c r="D33" s="33" t="str">
        <f t="shared" si="0"/>
        <v>https://finance.yahoo.com/quote/JNJ</v>
      </c>
      <c r="E33">
        <f ca="1">IFERROR(__xludf.DUMMYFUNCTION("GOOGLEFINANCE(B33)"),167.81)</f>
        <v>167.81</v>
      </c>
      <c r="F33" s="34" t="e">
        <f t="shared" ca="1" si="1"/>
        <v>#VALUE!</v>
      </c>
    </row>
    <row r="34" spans="1:6" ht="12.45" x14ac:dyDescent="0.3">
      <c r="A34" t="s">
        <v>231</v>
      </c>
      <c r="B34" t="s">
        <v>232</v>
      </c>
      <c r="C34" t="str">
        <f ca="1">IFERROR(__xludf.DUMMYFUNCTION("LEFT(INDEX(IMPORTHTML(CONCATENATE(""https://finance.yahoo.com/quote/"",$B34),""table"",2),6,2),4)"),"4.56")</f>
        <v>4.56</v>
      </c>
      <c r="D34" s="33" t="str">
        <f t="shared" si="0"/>
        <v>https://finance.yahoo.com/quote/KMB</v>
      </c>
      <c r="E34">
        <f ca="1">IFERROR(__xludf.DUMMYFUNCTION("GOOGLEFINANCE(B34)"),134.82)</f>
        <v>134.82</v>
      </c>
      <c r="F34" s="34" t="e">
        <f t="shared" ca="1" si="1"/>
        <v>#VALUE!</v>
      </c>
    </row>
    <row r="35" spans="1:6" ht="12.45" x14ac:dyDescent="0.3">
      <c r="A35" t="s">
        <v>233</v>
      </c>
      <c r="B35" t="s">
        <v>234</v>
      </c>
      <c r="C35" t="str">
        <f ca="1">IFERROR(__xludf.DUMMYFUNCTION("LEFT(INDEX(IMPORTHTML(CONCATENATE(""https://finance.yahoo.com/quote/"",$B35),""table"",2),6,2),4)"),"1.68")</f>
        <v>1.68</v>
      </c>
      <c r="D35" s="33" t="str">
        <f t="shared" si="0"/>
        <v>https://finance.yahoo.com/quote/LEG</v>
      </c>
      <c r="E35">
        <f ca="1">IFERROR(__xludf.DUMMYFUNCTION("GOOGLEFINANCE(B35)"),49.78)</f>
        <v>49.78</v>
      </c>
      <c r="F35" s="34" t="e">
        <f t="shared" ca="1" si="1"/>
        <v>#VALUE!</v>
      </c>
    </row>
    <row r="36" spans="1:6" ht="12.45" x14ac:dyDescent="0.3">
      <c r="A36" t="s">
        <v>235</v>
      </c>
      <c r="B36" t="s">
        <v>236</v>
      </c>
      <c r="C36" t="str">
        <f ca="1">IFERROR(__xludf.DUMMYFUNCTION("LEFT(INDEX(IMPORTHTML(CONCATENATE(""https://finance.yahoo.com/quote/"",$B36),""table"",2),6,2),4)"),"4.24")</f>
        <v>4.24</v>
      </c>
      <c r="D36" s="33" t="str">
        <f t="shared" si="0"/>
        <v>https://finance.yahoo.com/quote/LIN</v>
      </c>
      <c r="E36">
        <f ca="1">IFERROR(__xludf.DUMMYFUNCTION("GOOGLEFINANCE(B36)"),285.38)</f>
        <v>285.38</v>
      </c>
      <c r="F36" s="34" t="e">
        <f t="shared" ca="1" si="1"/>
        <v>#VALUE!</v>
      </c>
    </row>
    <row r="37" spans="1:6" ht="12.45" x14ac:dyDescent="0.3">
      <c r="A37" t="s">
        <v>237</v>
      </c>
      <c r="B37" t="s">
        <v>238</v>
      </c>
      <c r="C37" t="str">
        <f ca="1">IFERROR(__xludf.DUMMYFUNCTION("LEFT(INDEX(IMPORTHTML(CONCATENATE(""https://finance.yahoo.com/quote/"",$B37),""table"",2),6,2),4)"),"3.20")</f>
        <v>3.20</v>
      </c>
      <c r="D37" s="33" t="str">
        <f t="shared" si="0"/>
        <v>https://finance.yahoo.com/quote/LOW</v>
      </c>
      <c r="E37">
        <f ca="1">IFERROR(__xludf.DUMMYFUNCTION("GOOGLEFINANCE(B37)"),192.58)</f>
        <v>192.58</v>
      </c>
      <c r="F37" s="34" t="e">
        <f t="shared" ca="1" si="1"/>
        <v>#VALUE!</v>
      </c>
    </row>
    <row r="38" spans="1:6" ht="12.45" x14ac:dyDescent="0.3">
      <c r="A38" t="s">
        <v>239</v>
      </c>
      <c r="B38" t="s">
        <v>240</v>
      </c>
      <c r="C38" t="str">
        <f ca="1">IFERROR(__xludf.DUMMYFUNCTION("LEFT(INDEX(IMPORTHTML(CONCATENATE(""https://finance.yahoo.com/quote/"",$B38),""table"",2),6,2),4)"),"1.36")</f>
        <v>1.36</v>
      </c>
      <c r="D38" s="33" t="str">
        <f t="shared" si="0"/>
        <v>https://finance.yahoo.com/quote/MKC</v>
      </c>
      <c r="E38">
        <f ca="1">IFERROR(__xludf.DUMMYFUNCTION("GOOGLEFINANCE(B38)"),87.58)</f>
        <v>87.58</v>
      </c>
      <c r="F38" s="34" t="e">
        <f t="shared" ca="1" si="1"/>
        <v>#VALUE!</v>
      </c>
    </row>
    <row r="39" spans="1:6" ht="12.45" x14ac:dyDescent="0.3">
      <c r="A39" t="s">
        <v>241</v>
      </c>
      <c r="B39" t="s">
        <v>242</v>
      </c>
      <c r="C39" t="str">
        <f ca="1">IFERROR(__xludf.DUMMYFUNCTION("LEFT(INDEX(IMPORTHTML(CONCATENATE(""https://finance.yahoo.com/quote/"",$B39),""table"",2),6,2),4)"),"5.16")</f>
        <v>5.16</v>
      </c>
      <c r="D39" s="33" t="str">
        <f t="shared" si="0"/>
        <v>https://finance.yahoo.com/quote/MCD</v>
      </c>
      <c r="E39">
        <f ca="1">IFERROR(__xludf.DUMMYFUNCTION("GOOGLEFINANCE(B39)"),232.27)</f>
        <v>232.27</v>
      </c>
      <c r="F39" s="34" t="e">
        <f t="shared" ca="1" si="1"/>
        <v>#VALUE!</v>
      </c>
    </row>
    <row r="40" spans="1:6" ht="12.45" x14ac:dyDescent="0.3">
      <c r="A40" t="s">
        <v>243</v>
      </c>
      <c r="B40" t="s">
        <v>244</v>
      </c>
      <c r="C40" t="str">
        <f ca="1">IFERROR(__xludf.DUMMYFUNCTION("LEFT(INDEX(IMPORTHTML(CONCATENATE(""https://finance.yahoo.com/quote/"",$B40),""table"",2),6,2),4)"),"2.52")</f>
        <v>2.52</v>
      </c>
      <c r="D40" s="33" t="str">
        <f t="shared" si="0"/>
        <v>https://finance.yahoo.com/quote/MDT</v>
      </c>
      <c r="E40">
        <f ca="1">IFERROR(__xludf.DUMMYFUNCTION("GOOGLEFINANCE(B40)"),126.23)</f>
        <v>126.23</v>
      </c>
      <c r="F40" s="34" t="e">
        <f t="shared" ca="1" si="1"/>
        <v>#VALUE!</v>
      </c>
    </row>
    <row r="41" spans="1:6" ht="12.45" x14ac:dyDescent="0.3">
      <c r="A41" t="s">
        <v>245</v>
      </c>
      <c r="B41" t="s">
        <v>246</v>
      </c>
      <c r="C41" t="str">
        <f ca="1">IFERROR(__xludf.DUMMYFUNCTION("LEFT(INDEX(IMPORTHTML(CONCATENATE(""https://finance.yahoo.com/quote/"",$B41),""table"",2),6,2),4)"),"1.62")</f>
        <v>1.62</v>
      </c>
      <c r="D41" s="33" t="str">
        <f t="shared" si="0"/>
        <v>https://finance.yahoo.com/quote/NUE</v>
      </c>
      <c r="E41">
        <f ca="1">IFERROR(__xludf.DUMMYFUNCTION("GOOGLEFINANCE(B41)"),93.65)</f>
        <v>93.65</v>
      </c>
      <c r="F41" s="34" t="e">
        <f t="shared" ca="1" si="1"/>
        <v>#VALUE!</v>
      </c>
    </row>
    <row r="42" spans="1:6" ht="12.45" x14ac:dyDescent="0.3">
      <c r="A42" t="s">
        <v>247</v>
      </c>
      <c r="B42" t="s">
        <v>248</v>
      </c>
      <c r="C42" t="str">
        <f ca="1">IFERROR(__xludf.DUMMYFUNCTION("LEFT(INDEX(IMPORTHTML(CONCATENATE(""https://finance.yahoo.com/quote/"",$B42),""table"",2),6,2),4)"),"0.73")</f>
        <v>0.73</v>
      </c>
      <c r="D42" s="33" t="str">
        <f t="shared" si="0"/>
        <v>https://finance.yahoo.com/quote/PBCT</v>
      </c>
      <c r="E42">
        <f ca="1">IFERROR(__xludf.DUMMYFUNCTION("GOOGLEFINANCE(B42)"),16.34)</f>
        <v>16.34</v>
      </c>
      <c r="F42" s="34" t="e">
        <f t="shared" ca="1" si="1"/>
        <v>#VALUE!</v>
      </c>
    </row>
    <row r="43" spans="1:6" ht="12.45" x14ac:dyDescent="0.3">
      <c r="A43" t="s">
        <v>249</v>
      </c>
      <c r="B43" t="s">
        <v>250</v>
      </c>
      <c r="C43" t="str">
        <f ca="1">IFERROR(__xludf.DUMMYFUNCTION("LEFT(INDEX(IMPORTHTML(CONCATENATE(""https://finance.yahoo.com/quote/"",$B43),""table"",2),6,2),4)"),"0.80")</f>
        <v>0.80</v>
      </c>
      <c r="D43" s="33" t="str">
        <f t="shared" si="0"/>
        <v>https://finance.yahoo.com/quote/PNR</v>
      </c>
      <c r="E43">
        <f ca="1">IFERROR(__xludf.DUMMYFUNCTION("GOOGLEFINANCE(B43)"),68.29)</f>
        <v>68.290000000000006</v>
      </c>
      <c r="F43" s="34" t="e">
        <f t="shared" ca="1" si="1"/>
        <v>#VALUE!</v>
      </c>
    </row>
    <row r="44" spans="1:6" ht="12.45" x14ac:dyDescent="0.3">
      <c r="A44" t="s">
        <v>251</v>
      </c>
      <c r="B44" t="s">
        <v>252</v>
      </c>
      <c r="C44" t="str">
        <f ca="1">IFERROR(__xludf.DUMMYFUNCTION("LEFT(INDEX(IMPORTHTML(CONCATENATE(""https://finance.yahoo.com/quote/"",$B44),""table"",2),6,2),4)"),"4.30")</f>
        <v>4.30</v>
      </c>
      <c r="D44" s="33" t="str">
        <f t="shared" si="0"/>
        <v>https://finance.yahoo.com/quote/PEP</v>
      </c>
      <c r="E44">
        <f ca="1">IFERROR(__xludf.DUMMYFUNCTION("GOOGLEFINANCE(B44)"),149.6)</f>
        <v>149.6</v>
      </c>
      <c r="F44" s="34" t="e">
        <f t="shared" ca="1" si="1"/>
        <v>#VALUE!</v>
      </c>
    </row>
    <row r="45" spans="1:6" ht="12.45" x14ac:dyDescent="0.3">
      <c r="A45" t="s">
        <v>253</v>
      </c>
      <c r="B45" t="s">
        <v>254</v>
      </c>
      <c r="C45" t="str">
        <f ca="1">IFERROR(__xludf.DUMMYFUNCTION("LEFT(INDEX(IMPORTHTML(CONCATENATE(""https://finance.yahoo.com/quote/"",$B45),""table"",2),6,2),4)"),"2.16")</f>
        <v>2.16</v>
      </c>
      <c r="D45" s="33" t="str">
        <f t="shared" si="0"/>
        <v>https://finance.yahoo.com/quote/PPG</v>
      </c>
      <c r="E45">
        <f ca="1">IFERROR(__xludf.DUMMYFUNCTION("GOOGLEFINANCE(B45)"),169.65)</f>
        <v>169.65</v>
      </c>
      <c r="F45" s="34" t="e">
        <f t="shared" ca="1" si="1"/>
        <v>#VALUE!</v>
      </c>
    </row>
    <row r="46" spans="1:6" ht="12.45" x14ac:dyDescent="0.3">
      <c r="A46" t="s">
        <v>255</v>
      </c>
      <c r="B46" t="s">
        <v>256</v>
      </c>
      <c r="C46" t="str">
        <f ca="1">IFERROR(__xludf.DUMMYFUNCTION("LEFT(INDEX(IMPORTHTML(CONCATENATE(""https://finance.yahoo.com/quote/"",$B46),""table"",2),6,2),4)"),"3.48")</f>
        <v>3.48</v>
      </c>
      <c r="D46" s="33" t="str">
        <f t="shared" si="0"/>
        <v>https://finance.yahoo.com/quote/PG</v>
      </c>
      <c r="E46">
        <f ca="1">IFERROR(__xludf.DUMMYFUNCTION("GOOGLEFINANCE(B46)"),136.17)</f>
        <v>136.16999999999999</v>
      </c>
      <c r="F46" s="34" t="e">
        <f t="shared" ca="1" si="1"/>
        <v>#VALUE!</v>
      </c>
    </row>
    <row r="47" spans="1:6" ht="12.45" x14ac:dyDescent="0.3">
      <c r="A47" t="s">
        <v>257</v>
      </c>
      <c r="B47" t="s">
        <v>258</v>
      </c>
      <c r="C47" t="str">
        <f ca="1">IFERROR(__xludf.DUMMYFUNCTION("LEFT(INDEX(IMPORTHTML(CONCATENATE(""https://finance.yahoo.com/quote/"",$B47),""table"",2),6,2),4)"),"2.25")</f>
        <v>2.25</v>
      </c>
      <c r="D47" s="33" t="str">
        <f t="shared" si="0"/>
        <v>https://finance.yahoo.com/quote/ROP</v>
      </c>
      <c r="E47">
        <f ca="1">IFERROR(__xludf.DUMMYFUNCTION("GOOGLEFINANCE(B47)"),473.69)</f>
        <v>473.69</v>
      </c>
      <c r="F47" s="34" t="e">
        <f t="shared" ca="1" si="1"/>
        <v>#VALUE!</v>
      </c>
    </row>
    <row r="48" spans="1:6" ht="12.45" x14ac:dyDescent="0.3">
      <c r="A48" t="s">
        <v>259</v>
      </c>
      <c r="B48" t="s">
        <v>260</v>
      </c>
      <c r="C48" t="str">
        <f ca="1">IFERROR(__xludf.DUMMYFUNCTION("LEFT(INDEX(IMPORTHTML(CONCATENATE(""https://finance.yahoo.com/quote/"",$B48),""table"",2),6,2),4)"),"3.08")</f>
        <v>3.08</v>
      </c>
      <c r="D48" s="33" t="str">
        <f t="shared" si="0"/>
        <v>https://finance.yahoo.com/quote/SPGI</v>
      </c>
      <c r="E48">
        <f ca="1">IFERROR(__xludf.DUMMYFUNCTION("GOOGLEFINANCE(B48)"),416.27)</f>
        <v>416.27</v>
      </c>
      <c r="F48" s="34" t="e">
        <f t="shared" ca="1" si="1"/>
        <v>#VALUE!</v>
      </c>
    </row>
    <row r="49" spans="1:6" ht="12.45" x14ac:dyDescent="0.3">
      <c r="A49" t="s">
        <v>261</v>
      </c>
      <c r="B49" t="s">
        <v>262</v>
      </c>
      <c r="C49" t="str">
        <f ca="1">IFERROR(__xludf.DUMMYFUNCTION("LEFT(INDEX(IMPORTHTML(CONCATENATE(""https://finance.yahoo.com/quote/"",$B49),""table"",2),6,2),4)"),"2.20")</f>
        <v>2.20</v>
      </c>
      <c r="D49" s="33" t="str">
        <f t="shared" si="0"/>
        <v>https://finance.yahoo.com/quote/SHW</v>
      </c>
      <c r="E49">
        <f ca="1">IFERROR(__xludf.DUMMYFUNCTION("GOOGLEFINANCE(B49)"),273.3)</f>
        <v>273.3</v>
      </c>
      <c r="F49" s="34" t="e">
        <f t="shared" ca="1" si="1"/>
        <v>#VALUE!</v>
      </c>
    </row>
    <row r="50" spans="1:6" ht="12.45" x14ac:dyDescent="0.3">
      <c r="A50" t="s">
        <v>263</v>
      </c>
      <c r="B50" t="s">
        <v>264</v>
      </c>
      <c r="C50" t="str">
        <f ca="1">IFERROR(__xludf.DUMMYFUNCTION("LEFT(INDEX(IMPORTHTML(CONCATENATE(""https://finance.yahoo.com/quote/"",$B50),""table"",2),6,2),4)"),"2.80")</f>
        <v>2.80</v>
      </c>
      <c r="D50" s="33" t="str">
        <f t="shared" si="0"/>
        <v>https://finance.yahoo.com/quote/SWK</v>
      </c>
      <c r="E50">
        <f ca="1">IFERROR(__xludf.DUMMYFUNCTION("GOOGLEFINANCE(B50)"),205.38)</f>
        <v>205.38</v>
      </c>
      <c r="F50" s="34" t="e">
        <f t="shared" ca="1" si="1"/>
        <v>#VALUE!</v>
      </c>
    </row>
    <row r="51" spans="1:6" ht="12.45" x14ac:dyDescent="0.3">
      <c r="A51" t="s">
        <v>265</v>
      </c>
      <c r="B51" t="s">
        <v>266</v>
      </c>
      <c r="C51" t="str">
        <f ca="1">IFERROR(__xludf.DUMMYFUNCTION("LEFT(INDEX(IMPORTHTML(CONCATENATE(""https://finance.yahoo.com/quote/"",$B51),""table"",2),6,2),4)"),"1.88")</f>
        <v>1.88</v>
      </c>
      <c r="D51" s="33" t="str">
        <f t="shared" si="0"/>
        <v>https://finance.yahoo.com/quote/SYY</v>
      </c>
      <c r="E51">
        <f ca="1">IFERROR(__xludf.DUMMYFUNCTION("GOOGLEFINANCE(B51)"),74.41)</f>
        <v>74.41</v>
      </c>
      <c r="F51" s="34" t="e">
        <f t="shared" ca="1" si="1"/>
        <v>#VALUE!</v>
      </c>
    </row>
    <row r="52" spans="1:6" ht="12.45" x14ac:dyDescent="0.3">
      <c r="A52" t="s">
        <v>267</v>
      </c>
      <c r="B52" t="s">
        <v>268</v>
      </c>
      <c r="C52" t="str">
        <f ca="1">IFERROR(__xludf.DUMMYFUNCTION("LEFT(INDEX(IMPORTHTML(CONCATENATE(""https://finance.yahoo.com/quote/"",$B52),""table"",2),6,2),4)"),"4.32")</f>
        <v>4.32</v>
      </c>
      <c r="D52" s="33" t="str">
        <f t="shared" si="0"/>
        <v>https://finance.yahoo.com/quote/TROW</v>
      </c>
      <c r="E52">
        <f ca="1">IFERROR(__xludf.DUMMYFUNCTION("GOOGLEFINANCE(B52)"),198.94)</f>
        <v>198.94</v>
      </c>
      <c r="F52" s="34" t="e">
        <f t="shared" ca="1" si="1"/>
        <v>#VALUE!</v>
      </c>
    </row>
    <row r="53" spans="1:6" ht="12.45" x14ac:dyDescent="0.3">
      <c r="A53" t="s">
        <v>269</v>
      </c>
      <c r="B53" t="s">
        <v>270</v>
      </c>
      <c r="C53" t="str">
        <f ca="1">IFERROR(__xludf.DUMMYFUNCTION("LEFT(INDEX(IMPORTHTML(CONCATENATE(""https://finance.yahoo.com/quote/"",$B53),""table"",2),6,2),4)"),"3.60")</f>
        <v>3.60</v>
      </c>
      <c r="D53" s="33" t="str">
        <f t="shared" si="0"/>
        <v>https://finance.yahoo.com/quote/TGT</v>
      </c>
      <c r="E53">
        <f ca="1">IFERROR(__xludf.DUMMYFUNCTION("GOOGLEFINANCE(B53)"),246.24)</f>
        <v>246.24</v>
      </c>
      <c r="F53" s="34" t="e">
        <f t="shared" ca="1" si="1"/>
        <v>#VALUE!</v>
      </c>
    </row>
    <row r="54" spans="1:6" ht="12.45" x14ac:dyDescent="0.3">
      <c r="A54" t="s">
        <v>271</v>
      </c>
      <c r="B54" t="s">
        <v>272</v>
      </c>
      <c r="C54" t="str">
        <f ca="1">IFERROR(__xludf.DUMMYFUNCTION("LEFT(INDEX(IMPORTHTML(CONCATENATE(""https://finance.yahoo.com/quote/"",$B54),""table"",2),6,2),4)"),"1.96")</f>
        <v>1.96</v>
      </c>
      <c r="D54" s="33" t="str">
        <f t="shared" si="0"/>
        <v>https://finance.yahoo.com/quote/VFC</v>
      </c>
      <c r="E54">
        <f ca="1">IFERROR(__xludf.DUMMYFUNCTION("GOOGLEFINANCE(B54)"),80.78)</f>
        <v>80.78</v>
      </c>
      <c r="F54" s="34" t="e">
        <f t="shared" ca="1" si="1"/>
        <v>#VALUE!</v>
      </c>
    </row>
    <row r="55" spans="1:6" ht="12.45" x14ac:dyDescent="0.3">
      <c r="A55" t="s">
        <v>273</v>
      </c>
      <c r="B55" t="s">
        <v>274</v>
      </c>
      <c r="C55" s="31">
        <v>6.48</v>
      </c>
      <c r="D55" s="33" t="str">
        <f t="shared" si="0"/>
        <v>https://finance.yahoo.com/quote/GWW</v>
      </c>
      <c r="E55">
        <f ca="1">IFERROR(__xludf.DUMMYFUNCTION("GOOGLEFINANCE(B55)"),449.08)</f>
        <v>449.08</v>
      </c>
      <c r="F55" s="34">
        <f t="shared" ca="1" si="1"/>
        <v>1.4429500311748465E-2</v>
      </c>
    </row>
    <row r="56" spans="1:6" ht="12.45" x14ac:dyDescent="0.3">
      <c r="A56" t="s">
        <v>275</v>
      </c>
      <c r="B56" t="s">
        <v>276</v>
      </c>
      <c r="C56" t="str">
        <f ca="1">IFERROR(__xludf.DUMMYFUNCTION("LEFT(INDEX(IMPORTHTML(CONCATENATE(""https://finance.yahoo.com/quote/"",$B56),""table"",2),6,2),4)"),"2.20")</f>
        <v>2.20</v>
      </c>
      <c r="D56" s="33" t="str">
        <f t="shared" si="0"/>
        <v>https://finance.yahoo.com/quote/WMT</v>
      </c>
      <c r="E56">
        <f ca="1">IFERROR(__xludf.DUMMYFUNCTION("GOOGLEFINANCE(B56)"),139.21)</f>
        <v>139.21</v>
      </c>
      <c r="F56" s="34" t="e">
        <f t="shared" ca="1" si="1"/>
        <v>#VALUE!</v>
      </c>
    </row>
    <row r="57" spans="1:6" ht="12.45" x14ac:dyDescent="0.3">
      <c r="A57" t="s">
        <v>277</v>
      </c>
      <c r="B57" t="s">
        <v>278</v>
      </c>
      <c r="C57" t="str">
        <f ca="1">IFERROR(__xludf.DUMMYFUNCTION("LEFT(INDEX(IMPORTHTML(CONCATENATE(""https://finance.yahoo.com/quote/"",$B57),""table"",2),6,2),4)"),"1.87")</f>
        <v>1.87</v>
      </c>
      <c r="D57" s="33" t="str">
        <f t="shared" si="0"/>
        <v>https://finance.yahoo.com/quote/WBA</v>
      </c>
      <c r="E57">
        <f ca="1">IFERROR(__xludf.DUMMYFUNCTION("GOOGLEFINANCE(B57)"),46.73)</f>
        <v>46.73</v>
      </c>
      <c r="F57" s="34" t="e">
        <f t="shared" ca="1" si="1"/>
        <v>#VALUE!</v>
      </c>
    </row>
    <row r="58" spans="1:6" ht="12.45" x14ac:dyDescent="0.3">
      <c r="A58" t="s">
        <v>279</v>
      </c>
      <c r="B58" t="s">
        <v>280</v>
      </c>
      <c r="C58" t="str">
        <f ca="1">IFERROR(__xludf.DUMMYFUNCTION("LEFT(INDEX(IMPORTHTML(CONCATENATE(""https://finance.yahoo.com/quote/"",$B58),""table"",2),6,2),4)"),"6.56")</f>
        <v>6.56</v>
      </c>
      <c r="D58" s="33" t="str">
        <f t="shared" si="0"/>
        <v>https://finance.yahoo.com/quote/IBM</v>
      </c>
      <c r="E58">
        <f ca="1">IFERROR(__xludf.DUMMYFUNCTION("GOOGLEFINANCE(B58)"),140.83)</f>
        <v>140.83000000000001</v>
      </c>
      <c r="F58" s="34" t="e">
        <f t="shared" ca="1" si="1"/>
        <v>#VALUE!</v>
      </c>
    </row>
    <row r="59" spans="1:6" ht="12.45" x14ac:dyDescent="0.3">
      <c r="A59" t="s">
        <v>281</v>
      </c>
      <c r="B59" t="s">
        <v>282</v>
      </c>
      <c r="C59" t="str">
        <f ca="1">IFERROR(__xludf.DUMMYFUNCTION("LEFT(INDEX(IMPORTHTML(CONCATENATE(""https://finance.yahoo.com/quote/"",$B59),""table"",2),6,2),4)"),"1.54")</f>
        <v>1.54</v>
      </c>
      <c r="D59" s="33" t="str">
        <f t="shared" si="0"/>
        <v>https://finance.yahoo.com/quote/NEE</v>
      </c>
      <c r="E59">
        <f ca="1">IFERROR(__xludf.DUMMYFUNCTION("GOOGLEFINANCE(B59)"),75.51)</f>
        <v>75.510000000000005</v>
      </c>
      <c r="F59" s="34" t="e">
        <f t="shared" ca="1" si="1"/>
        <v>#VALUE!</v>
      </c>
    </row>
    <row r="60" spans="1:6" ht="12.45" x14ac:dyDescent="0.3">
      <c r="A60" t="s">
        <v>283</v>
      </c>
      <c r="B60" t="s">
        <v>284</v>
      </c>
      <c r="C60" s="31">
        <v>0.68</v>
      </c>
      <c r="D60" s="33" t="str">
        <f t="shared" si="0"/>
        <v>https://finance.yahoo.com/quote/WST</v>
      </c>
      <c r="E60">
        <f ca="1">IFERROR(__xludf.DUMMYFUNCTION("GOOGLEFINANCE(B60)"),368.21)</f>
        <v>368.21</v>
      </c>
      <c r="F60" s="34">
        <f t="shared" ca="1" si="1"/>
        <v>1.8467722223731026E-3</v>
      </c>
    </row>
    <row r="61" spans="1:6" ht="12.45" x14ac:dyDescent="0.3">
      <c r="A61" t="s">
        <v>285</v>
      </c>
      <c r="B61" t="s">
        <v>286</v>
      </c>
      <c r="C61" t="str">
        <f ca="1">IFERROR(__xludf.DUMMYFUNCTION("LEFT(INDEX(IMPORTHTML(CONCATENATE(""https://finance.yahoo.com/quote/"",$B61),""table"",2),6,2),4)"),"0.47")</f>
        <v>0.47</v>
      </c>
      <c r="D61" s="33" t="str">
        <f t="shared" si="0"/>
        <v>https://finance.yahoo.com/quote/AMCR</v>
      </c>
      <c r="E61">
        <f ca="1">IFERROR(__xludf.DUMMYFUNCTION("GOOGLEFINANCE(B61)"),11.42)</f>
        <v>11.42</v>
      </c>
      <c r="F61" s="34" t="e">
        <f t="shared" ca="1" si="1"/>
        <v>#VALUE!</v>
      </c>
    </row>
    <row r="62" spans="1:6" ht="12.45" x14ac:dyDescent="0.3">
      <c r="A62" t="s">
        <v>287</v>
      </c>
      <c r="B62" t="s">
        <v>288</v>
      </c>
      <c r="C62" t="str">
        <f ca="1">IFERROR(__xludf.DUMMYFUNCTION("LEFT(INDEX(IMPORTHTML(CONCATENATE(""https://finance.yahoo.com/quote/"",$B62),""table"",2),6,2),4)"),"2.50")</f>
        <v>2.50</v>
      </c>
      <c r="D62" s="33" t="str">
        <f t="shared" si="0"/>
        <v>https://finance.yahoo.com/quote/ATO</v>
      </c>
      <c r="E62">
        <f ca="1">IFERROR(__xludf.DUMMYFUNCTION("GOOGLEFINANCE(B62)"),98.17)</f>
        <v>98.17</v>
      </c>
      <c r="F62" s="34" t="e">
        <f t="shared" ca="1" si="1"/>
        <v>#VALUE!</v>
      </c>
    </row>
    <row r="63" spans="1:6" ht="12.45" x14ac:dyDescent="0.3">
      <c r="A63" t="s">
        <v>289</v>
      </c>
      <c r="B63" t="s">
        <v>290</v>
      </c>
      <c r="C63" t="str">
        <f ca="1">IFERROR(__xludf.DUMMYFUNCTION("LEFT(INDEX(IMPORTHTML(CONCATENATE(""https://finance.yahoo.com/quote/"",$B63),""table"",2),6,2),4)"),"2.83")</f>
        <v>2.83</v>
      </c>
      <c r="D63" s="33" t="str">
        <f t="shared" si="0"/>
        <v>https://finance.yahoo.com/quote/O</v>
      </c>
      <c r="E63">
        <f ca="1">IFERROR(__xludf.DUMMYFUNCTION("GOOGLEFINANCE(B63)"),68.17)</f>
        <v>68.17</v>
      </c>
      <c r="F63" s="34" t="e">
        <f t="shared" ca="1" si="1"/>
        <v>#VALUE!</v>
      </c>
    </row>
    <row r="64" spans="1:6" ht="12.45" x14ac:dyDescent="0.3">
      <c r="A64" t="s">
        <v>291</v>
      </c>
      <c r="B64" t="s">
        <v>292</v>
      </c>
      <c r="C64" t="str">
        <f ca="1">IFERROR(__xludf.DUMMYFUNCTION("LEFT(INDEX(IMPORTHTML(CONCATENATE(""https://finance.yahoo.com/quote/"",$B64),""table"",2),6,2),4)"),"8.36")</f>
        <v>8.36</v>
      </c>
      <c r="D64" s="33" t="str">
        <f t="shared" si="0"/>
        <v>https://finance.yahoo.com/quote/ESS</v>
      </c>
      <c r="E64">
        <f ca="1">IFERROR(__xludf.DUMMYFUNCTION("GOOGLEFINANCE(B64)"),312.17)</f>
        <v>312.17</v>
      </c>
      <c r="F64" s="34" t="e">
        <f t="shared" ca="1" si="1"/>
        <v>#VALUE!</v>
      </c>
    </row>
    <row r="65" spans="1:6" ht="12.45" x14ac:dyDescent="0.3">
      <c r="A65" t="s">
        <v>293</v>
      </c>
      <c r="B65" t="s">
        <v>294</v>
      </c>
      <c r="C65" t="str">
        <f ca="1">IFERROR(__xludf.DUMMYFUNCTION("LEFT(INDEX(IMPORTHTML(CONCATENATE(""https://finance.yahoo.com/quote/"",$B65),""table"",2),6,2),4)"),"1.56")</f>
        <v>1.56</v>
      </c>
      <c r="D65" s="33" t="str">
        <f t="shared" si="0"/>
        <v>https://finance.yahoo.com/quote/ALB</v>
      </c>
      <c r="E65">
        <f ca="1">IFERROR(__xludf.DUMMYFUNCTION("GOOGLEFINANCE(B65)"),165.38)</f>
        <v>165.38</v>
      </c>
      <c r="F65" s="34" t="e">
        <f t="shared" ca="1" si="1"/>
        <v>#VALUE!</v>
      </c>
    </row>
    <row r="66" spans="1:6" ht="12.45" x14ac:dyDescent="0.3">
      <c r="A66" t="s">
        <v>295</v>
      </c>
      <c r="B66" t="s">
        <v>296</v>
      </c>
      <c r="C66" t="str">
        <f ca="1">IFERROR(__xludf.DUMMYFUNCTION("LEFT(INDEX(IMPORTHTML(CONCATENATE(""https://finance.yahoo.com/quote/"",$B66),""table"",2),6,2),4)"),"1.16")</f>
        <v>1.16</v>
      </c>
      <c r="D66" s="33" t="str">
        <f t="shared" si="0"/>
        <v>https://finance.yahoo.com/quote/EXPD</v>
      </c>
      <c r="E66">
        <f ca="1">IFERROR(__xludf.DUMMYFUNCTION("GOOGLEFINANCE(B66)"),126.81)</f>
        <v>126.81</v>
      </c>
      <c r="F66" s="34" t="e">
        <f t="shared" ca="1" si="1"/>
        <v>#VALUE!</v>
      </c>
    </row>
    <row r="67" spans="1:6" ht="12.45" x14ac:dyDescent="0.3">
      <c r="F67" s="34"/>
    </row>
    <row r="68" spans="1:6" ht="12.45" x14ac:dyDescent="0.3">
      <c r="F68" s="34"/>
    </row>
    <row r="69" spans="1:6" ht="12.45" x14ac:dyDescent="0.3">
      <c r="F69" s="34"/>
    </row>
    <row r="70" spans="1:6" ht="12.45" x14ac:dyDescent="0.3">
      <c r="F70" s="34"/>
    </row>
    <row r="71" spans="1:6" ht="12.45" x14ac:dyDescent="0.3">
      <c r="F71" s="34"/>
    </row>
    <row r="72" spans="1:6" ht="12.45" x14ac:dyDescent="0.3">
      <c r="F72" s="34"/>
    </row>
    <row r="73" spans="1:6" ht="12.45" x14ac:dyDescent="0.3">
      <c r="F73" s="34"/>
    </row>
    <row r="74" spans="1:6" ht="12.45" x14ac:dyDescent="0.3">
      <c r="F74" s="34"/>
    </row>
    <row r="75" spans="1:6" ht="12.45" x14ac:dyDescent="0.3">
      <c r="F75" s="34"/>
    </row>
    <row r="76" spans="1:6" ht="12.45" x14ac:dyDescent="0.3">
      <c r="F76" s="34"/>
    </row>
    <row r="77" spans="1:6" ht="12.45" x14ac:dyDescent="0.3">
      <c r="F77" s="34"/>
    </row>
    <row r="78" spans="1:6" ht="12.45" x14ac:dyDescent="0.3">
      <c r="F78" s="34"/>
    </row>
    <row r="79" spans="1:6" ht="12.45" x14ac:dyDescent="0.3">
      <c r="F79" s="34"/>
    </row>
    <row r="80" spans="1:6" ht="12.45" x14ac:dyDescent="0.3">
      <c r="F80" s="34"/>
    </row>
    <row r="81" spans="6:6" ht="12.45" x14ac:dyDescent="0.3">
      <c r="F81" s="34"/>
    </row>
    <row r="82" spans="6:6" ht="12.45" x14ac:dyDescent="0.3">
      <c r="F82" s="34"/>
    </row>
    <row r="83" spans="6:6" ht="12.45" x14ac:dyDescent="0.3">
      <c r="F83" s="34"/>
    </row>
    <row r="84" spans="6:6" ht="12.45" x14ac:dyDescent="0.3">
      <c r="F84" s="34"/>
    </row>
    <row r="85" spans="6:6" ht="12.45" x14ac:dyDescent="0.3">
      <c r="F85" s="34"/>
    </row>
    <row r="86" spans="6:6" ht="12.45" x14ac:dyDescent="0.3">
      <c r="F86" s="34"/>
    </row>
    <row r="87" spans="6:6" ht="12.45" x14ac:dyDescent="0.3">
      <c r="F87" s="34"/>
    </row>
    <row r="88" spans="6:6" ht="12.45" x14ac:dyDescent="0.3">
      <c r="F88" s="34"/>
    </row>
    <row r="89" spans="6:6" ht="12.45" x14ac:dyDescent="0.3">
      <c r="F89" s="34"/>
    </row>
    <row r="90" spans="6:6" ht="12.45" x14ac:dyDescent="0.3">
      <c r="F90" s="34"/>
    </row>
    <row r="91" spans="6:6" ht="12.45" x14ac:dyDescent="0.3">
      <c r="F91" s="34"/>
    </row>
    <row r="92" spans="6:6" ht="12.45" x14ac:dyDescent="0.3">
      <c r="F92" s="34"/>
    </row>
    <row r="93" spans="6:6" ht="12.45" x14ac:dyDescent="0.3">
      <c r="F93" s="34"/>
    </row>
    <row r="94" spans="6:6" ht="12.45" x14ac:dyDescent="0.3">
      <c r="F94" s="34"/>
    </row>
    <row r="95" spans="6:6" ht="12.45" x14ac:dyDescent="0.3">
      <c r="F95" s="34"/>
    </row>
    <row r="96" spans="6:6" ht="12.45" x14ac:dyDescent="0.3">
      <c r="F96" s="34"/>
    </row>
    <row r="97" spans="6:6" ht="12.45" x14ac:dyDescent="0.3">
      <c r="F97" s="34"/>
    </row>
    <row r="98" spans="6:6" ht="12.45" x14ac:dyDescent="0.3">
      <c r="F98" s="34"/>
    </row>
    <row r="99" spans="6:6" ht="12.45" x14ac:dyDescent="0.3">
      <c r="F99" s="34"/>
    </row>
    <row r="100" spans="6:6" ht="12.45" x14ac:dyDescent="0.3">
      <c r="F100" s="34"/>
    </row>
    <row r="101" spans="6:6" ht="12.45" x14ac:dyDescent="0.3">
      <c r="F101" s="34"/>
    </row>
    <row r="102" spans="6:6" ht="12.45" x14ac:dyDescent="0.3">
      <c r="F102" s="34"/>
    </row>
    <row r="103" spans="6:6" ht="12.45" x14ac:dyDescent="0.3">
      <c r="F103" s="34"/>
    </row>
    <row r="104" spans="6:6" ht="12.45" x14ac:dyDescent="0.3">
      <c r="F104" s="34"/>
    </row>
    <row r="105" spans="6:6" ht="12.45" x14ac:dyDescent="0.3">
      <c r="F105" s="34"/>
    </row>
    <row r="106" spans="6:6" ht="12.45" x14ac:dyDescent="0.3">
      <c r="F106" s="34"/>
    </row>
    <row r="107" spans="6:6" ht="12.45" x14ac:dyDescent="0.3">
      <c r="F107" s="34"/>
    </row>
    <row r="108" spans="6:6" ht="12.45" x14ac:dyDescent="0.3">
      <c r="F108" s="34"/>
    </row>
    <row r="109" spans="6:6" ht="12.45" x14ac:dyDescent="0.3">
      <c r="F109" s="34"/>
    </row>
    <row r="110" spans="6:6" ht="12.45" x14ac:dyDescent="0.3">
      <c r="F110" s="34"/>
    </row>
    <row r="111" spans="6:6" ht="12.45" x14ac:dyDescent="0.3">
      <c r="F111" s="34"/>
    </row>
    <row r="112" spans="6:6" ht="12.45" x14ac:dyDescent="0.3">
      <c r="F112" s="34"/>
    </row>
    <row r="113" spans="6:6" ht="12.45" x14ac:dyDescent="0.3">
      <c r="F113" s="34"/>
    </row>
    <row r="114" spans="6:6" ht="12.45" x14ac:dyDescent="0.3">
      <c r="F114" s="34"/>
    </row>
    <row r="115" spans="6:6" ht="12.45" x14ac:dyDescent="0.3">
      <c r="F115" s="34"/>
    </row>
    <row r="116" spans="6:6" ht="12.45" x14ac:dyDescent="0.3">
      <c r="F116" s="34"/>
    </row>
    <row r="117" spans="6:6" ht="12.45" x14ac:dyDescent="0.3">
      <c r="F117" s="34"/>
    </row>
    <row r="118" spans="6:6" ht="12.45" x14ac:dyDescent="0.3">
      <c r="F118" s="34"/>
    </row>
    <row r="119" spans="6:6" ht="12.45" x14ac:dyDescent="0.3">
      <c r="F119" s="34"/>
    </row>
    <row r="120" spans="6:6" ht="12.45" x14ac:dyDescent="0.3">
      <c r="F120" s="34"/>
    </row>
    <row r="121" spans="6:6" ht="12.45" x14ac:dyDescent="0.3">
      <c r="F121" s="34"/>
    </row>
    <row r="122" spans="6:6" ht="12.45" x14ac:dyDescent="0.3">
      <c r="F122" s="34"/>
    </row>
    <row r="123" spans="6:6" ht="12.45" x14ac:dyDescent="0.3">
      <c r="F123" s="34"/>
    </row>
    <row r="124" spans="6:6" ht="12.45" x14ac:dyDescent="0.3">
      <c r="F124" s="34"/>
    </row>
    <row r="125" spans="6:6" ht="12.45" x14ac:dyDescent="0.3">
      <c r="F125" s="34"/>
    </row>
    <row r="126" spans="6:6" ht="12.45" x14ac:dyDescent="0.3">
      <c r="F126" s="34"/>
    </row>
    <row r="127" spans="6:6" ht="12.45" x14ac:dyDescent="0.3">
      <c r="F127" s="34"/>
    </row>
    <row r="128" spans="6:6" ht="12.45" x14ac:dyDescent="0.3">
      <c r="F128" s="34"/>
    </row>
    <row r="129" spans="6:6" ht="12.45" x14ac:dyDescent="0.3">
      <c r="F129" s="34"/>
    </row>
    <row r="130" spans="6:6" ht="12.45" x14ac:dyDescent="0.3">
      <c r="F130" s="34"/>
    </row>
    <row r="131" spans="6:6" ht="12.45" x14ac:dyDescent="0.3">
      <c r="F131" s="34"/>
    </row>
    <row r="132" spans="6:6" ht="12.45" x14ac:dyDescent="0.3">
      <c r="F132" s="34"/>
    </row>
    <row r="133" spans="6:6" ht="12.45" x14ac:dyDescent="0.3">
      <c r="F133" s="34"/>
    </row>
    <row r="134" spans="6:6" ht="12.45" x14ac:dyDescent="0.3">
      <c r="F134" s="34"/>
    </row>
    <row r="135" spans="6:6" ht="12.45" x14ac:dyDescent="0.3">
      <c r="F135" s="34"/>
    </row>
    <row r="136" spans="6:6" ht="12.45" x14ac:dyDescent="0.3">
      <c r="F136" s="34"/>
    </row>
    <row r="137" spans="6:6" ht="12.45" x14ac:dyDescent="0.3">
      <c r="F137" s="34"/>
    </row>
    <row r="138" spans="6:6" ht="12.45" x14ac:dyDescent="0.3">
      <c r="F138" s="34"/>
    </row>
    <row r="139" spans="6:6" ht="12.45" x14ac:dyDescent="0.3">
      <c r="F139" s="34"/>
    </row>
    <row r="140" spans="6:6" ht="12.45" x14ac:dyDescent="0.3">
      <c r="F140" s="34"/>
    </row>
    <row r="141" spans="6:6" ht="12.45" x14ac:dyDescent="0.3">
      <c r="F141" s="34"/>
    </row>
    <row r="142" spans="6:6" ht="12.45" x14ac:dyDescent="0.3">
      <c r="F142" s="34"/>
    </row>
    <row r="143" spans="6:6" ht="12.45" x14ac:dyDescent="0.3">
      <c r="F143" s="34"/>
    </row>
    <row r="144" spans="6:6" ht="12.45" x14ac:dyDescent="0.3">
      <c r="F144" s="34"/>
    </row>
    <row r="145" spans="6:6" ht="12.45" x14ac:dyDescent="0.3">
      <c r="F145" s="34"/>
    </row>
    <row r="146" spans="6:6" ht="12.45" x14ac:dyDescent="0.3">
      <c r="F146" s="34"/>
    </row>
    <row r="147" spans="6:6" ht="12.45" x14ac:dyDescent="0.3">
      <c r="F147" s="34"/>
    </row>
    <row r="148" spans="6:6" ht="12.45" x14ac:dyDescent="0.3">
      <c r="F148" s="34"/>
    </row>
    <row r="149" spans="6:6" ht="12.45" x14ac:dyDescent="0.3">
      <c r="F149" s="34"/>
    </row>
    <row r="150" spans="6:6" ht="12.45" x14ac:dyDescent="0.3">
      <c r="F150" s="34"/>
    </row>
    <row r="151" spans="6:6" ht="12.45" x14ac:dyDescent="0.3">
      <c r="F151" s="34"/>
    </row>
    <row r="152" spans="6:6" ht="12.45" x14ac:dyDescent="0.3">
      <c r="F152" s="34"/>
    </row>
    <row r="153" spans="6:6" ht="12.45" x14ac:dyDescent="0.3">
      <c r="F153" s="34"/>
    </row>
    <row r="154" spans="6:6" ht="12.45" x14ac:dyDescent="0.3">
      <c r="F154" s="34"/>
    </row>
    <row r="155" spans="6:6" ht="12.45" x14ac:dyDescent="0.3">
      <c r="F155" s="34"/>
    </row>
    <row r="156" spans="6:6" ht="12.45" x14ac:dyDescent="0.3">
      <c r="F156" s="34"/>
    </row>
    <row r="157" spans="6:6" ht="12.45" x14ac:dyDescent="0.3">
      <c r="F157" s="34"/>
    </row>
    <row r="158" spans="6:6" ht="12.45" x14ac:dyDescent="0.3">
      <c r="F158" s="34"/>
    </row>
    <row r="159" spans="6:6" ht="12.45" x14ac:dyDescent="0.3">
      <c r="F159" s="34"/>
    </row>
    <row r="160" spans="6:6" ht="12.45" x14ac:dyDescent="0.3">
      <c r="F160" s="34"/>
    </row>
    <row r="161" spans="6:6" ht="12.45" x14ac:dyDescent="0.3">
      <c r="F161" s="34"/>
    </row>
    <row r="162" spans="6:6" ht="12.45" x14ac:dyDescent="0.3">
      <c r="F162" s="34"/>
    </row>
    <row r="163" spans="6:6" ht="12.45" x14ac:dyDescent="0.3">
      <c r="F163" s="34"/>
    </row>
    <row r="164" spans="6:6" ht="12.45" x14ac:dyDescent="0.3">
      <c r="F164" s="34"/>
    </row>
    <row r="165" spans="6:6" ht="12.45" x14ac:dyDescent="0.3">
      <c r="F165" s="34"/>
    </row>
    <row r="166" spans="6:6" ht="12.45" x14ac:dyDescent="0.3">
      <c r="F166" s="34"/>
    </row>
    <row r="167" spans="6:6" ht="12.45" x14ac:dyDescent="0.3">
      <c r="F167" s="34"/>
    </row>
    <row r="168" spans="6:6" ht="12.45" x14ac:dyDescent="0.3">
      <c r="F168" s="34"/>
    </row>
    <row r="169" spans="6:6" ht="12.45" x14ac:dyDescent="0.3">
      <c r="F169" s="34"/>
    </row>
    <row r="170" spans="6:6" ht="12.45" x14ac:dyDescent="0.3">
      <c r="F170" s="34"/>
    </row>
    <row r="171" spans="6:6" ht="12.45" x14ac:dyDescent="0.3">
      <c r="F171" s="34"/>
    </row>
    <row r="172" spans="6:6" ht="12.45" x14ac:dyDescent="0.3">
      <c r="F172" s="34"/>
    </row>
    <row r="173" spans="6:6" ht="12.45" x14ac:dyDescent="0.3">
      <c r="F173" s="34"/>
    </row>
    <row r="174" spans="6:6" ht="12.45" x14ac:dyDescent="0.3">
      <c r="F174" s="34"/>
    </row>
    <row r="175" spans="6:6" ht="12.45" x14ac:dyDescent="0.3">
      <c r="F175" s="34"/>
    </row>
    <row r="176" spans="6:6" ht="12.45" x14ac:dyDescent="0.3">
      <c r="F176" s="34"/>
    </row>
    <row r="177" spans="6:6" ht="12.45" x14ac:dyDescent="0.3">
      <c r="F177" s="34"/>
    </row>
    <row r="178" spans="6:6" ht="12.45" x14ac:dyDescent="0.3">
      <c r="F178" s="34"/>
    </row>
    <row r="179" spans="6:6" ht="12.45" x14ac:dyDescent="0.3">
      <c r="F179" s="34"/>
    </row>
    <row r="180" spans="6:6" ht="12.45" x14ac:dyDescent="0.3">
      <c r="F180" s="34"/>
    </row>
    <row r="181" spans="6:6" ht="12.45" x14ac:dyDescent="0.3">
      <c r="F181" s="34"/>
    </row>
    <row r="182" spans="6:6" ht="12.45" x14ac:dyDescent="0.3">
      <c r="F182" s="34"/>
    </row>
    <row r="183" spans="6:6" ht="12.45" x14ac:dyDescent="0.3">
      <c r="F183" s="34"/>
    </row>
    <row r="184" spans="6:6" ht="12.45" x14ac:dyDescent="0.3">
      <c r="F184" s="34"/>
    </row>
    <row r="185" spans="6:6" ht="12.45" x14ac:dyDescent="0.3">
      <c r="F185" s="34"/>
    </row>
    <row r="186" spans="6:6" ht="12.45" x14ac:dyDescent="0.3">
      <c r="F186" s="34"/>
    </row>
    <row r="187" spans="6:6" ht="12.45" x14ac:dyDescent="0.3">
      <c r="F187" s="34"/>
    </row>
    <row r="188" spans="6:6" ht="12.45" x14ac:dyDescent="0.3">
      <c r="F188" s="34"/>
    </row>
    <row r="189" spans="6:6" ht="12.45" x14ac:dyDescent="0.3">
      <c r="F189" s="34"/>
    </row>
    <row r="190" spans="6:6" ht="12.45" x14ac:dyDescent="0.3">
      <c r="F190" s="34"/>
    </row>
    <row r="191" spans="6:6" ht="12.45" x14ac:dyDescent="0.3">
      <c r="F191" s="34"/>
    </row>
    <row r="192" spans="6:6" ht="12.45" x14ac:dyDescent="0.3">
      <c r="F192" s="34"/>
    </row>
    <row r="193" spans="6:6" ht="12.45" x14ac:dyDescent="0.3">
      <c r="F193" s="34"/>
    </row>
    <row r="194" spans="6:6" ht="12.45" x14ac:dyDescent="0.3">
      <c r="F194" s="34"/>
    </row>
    <row r="195" spans="6:6" ht="12.45" x14ac:dyDescent="0.3">
      <c r="F195" s="34"/>
    </row>
    <row r="196" spans="6:6" ht="12.45" x14ac:dyDescent="0.3">
      <c r="F196" s="34"/>
    </row>
    <row r="197" spans="6:6" ht="12.45" x14ac:dyDescent="0.3">
      <c r="F197" s="34"/>
    </row>
    <row r="198" spans="6:6" ht="12.45" x14ac:dyDescent="0.3">
      <c r="F198" s="34"/>
    </row>
    <row r="199" spans="6:6" ht="12.45" x14ac:dyDescent="0.3">
      <c r="F199" s="34"/>
    </row>
    <row r="200" spans="6:6" ht="12.45" x14ac:dyDescent="0.3">
      <c r="F200" s="34"/>
    </row>
    <row r="201" spans="6:6" ht="12.45" x14ac:dyDescent="0.3">
      <c r="F201" s="34"/>
    </row>
    <row r="202" spans="6:6" ht="12.45" x14ac:dyDescent="0.3">
      <c r="F202" s="34"/>
    </row>
    <row r="203" spans="6:6" ht="12.45" x14ac:dyDescent="0.3">
      <c r="F203" s="34"/>
    </row>
    <row r="204" spans="6:6" ht="12.45" x14ac:dyDescent="0.3">
      <c r="F204" s="34"/>
    </row>
    <row r="205" spans="6:6" ht="12.45" x14ac:dyDescent="0.3">
      <c r="F205" s="34"/>
    </row>
    <row r="206" spans="6:6" ht="12.45" x14ac:dyDescent="0.3">
      <c r="F206" s="34"/>
    </row>
    <row r="207" spans="6:6" ht="12.45" x14ac:dyDescent="0.3">
      <c r="F207" s="34"/>
    </row>
    <row r="208" spans="6:6" ht="12.45" x14ac:dyDescent="0.3">
      <c r="F208" s="34"/>
    </row>
    <row r="209" spans="6:6" ht="12.45" x14ac:dyDescent="0.3">
      <c r="F209" s="34"/>
    </row>
    <row r="210" spans="6:6" ht="12.45" x14ac:dyDescent="0.3">
      <c r="F210" s="34"/>
    </row>
    <row r="211" spans="6:6" ht="12.45" x14ac:dyDescent="0.3">
      <c r="F211" s="34"/>
    </row>
    <row r="212" spans="6:6" ht="12.45" x14ac:dyDescent="0.3">
      <c r="F212" s="34"/>
    </row>
    <row r="213" spans="6:6" ht="12.45" x14ac:dyDescent="0.3">
      <c r="F213" s="34"/>
    </row>
    <row r="214" spans="6:6" ht="12.45" x14ac:dyDescent="0.3">
      <c r="F214" s="34"/>
    </row>
    <row r="215" spans="6:6" ht="12.45" x14ac:dyDescent="0.3">
      <c r="F215" s="34"/>
    </row>
    <row r="216" spans="6:6" ht="12.45" x14ac:dyDescent="0.3">
      <c r="F216" s="34"/>
    </row>
    <row r="217" spans="6:6" ht="12.45" x14ac:dyDescent="0.3">
      <c r="F217" s="34"/>
    </row>
    <row r="218" spans="6:6" ht="12.45" x14ac:dyDescent="0.3">
      <c r="F218" s="34"/>
    </row>
    <row r="219" spans="6:6" ht="12.45" x14ac:dyDescent="0.3">
      <c r="F219" s="34"/>
    </row>
    <row r="220" spans="6:6" ht="12.45" x14ac:dyDescent="0.3">
      <c r="F220" s="34"/>
    </row>
    <row r="221" spans="6:6" ht="12.45" x14ac:dyDescent="0.3">
      <c r="F221" s="34"/>
    </row>
    <row r="222" spans="6:6" ht="12.45" x14ac:dyDescent="0.3">
      <c r="F222" s="34"/>
    </row>
    <row r="223" spans="6:6" ht="12.45" x14ac:dyDescent="0.3">
      <c r="F223" s="34"/>
    </row>
    <row r="224" spans="6:6" ht="12.45" x14ac:dyDescent="0.3">
      <c r="F224" s="34"/>
    </row>
    <row r="225" spans="6:6" ht="12.45" x14ac:dyDescent="0.3">
      <c r="F225" s="34"/>
    </row>
    <row r="226" spans="6:6" ht="12.45" x14ac:dyDescent="0.3">
      <c r="F226" s="34"/>
    </row>
    <row r="227" spans="6:6" ht="12.45" x14ac:dyDescent="0.3">
      <c r="F227" s="34"/>
    </row>
    <row r="228" spans="6:6" ht="12.45" x14ac:dyDescent="0.3">
      <c r="F228" s="34"/>
    </row>
    <row r="229" spans="6:6" ht="12.45" x14ac:dyDescent="0.3">
      <c r="F229" s="34"/>
    </row>
    <row r="230" spans="6:6" ht="12.45" x14ac:dyDescent="0.3">
      <c r="F230" s="34"/>
    </row>
    <row r="231" spans="6:6" ht="12.45" x14ac:dyDescent="0.3">
      <c r="F231" s="34"/>
    </row>
    <row r="232" spans="6:6" ht="12.45" x14ac:dyDescent="0.3">
      <c r="F232" s="34"/>
    </row>
    <row r="233" spans="6:6" ht="12.45" x14ac:dyDescent="0.3">
      <c r="F233" s="34"/>
    </row>
    <row r="234" spans="6:6" ht="12.45" x14ac:dyDescent="0.3">
      <c r="F234" s="34"/>
    </row>
    <row r="235" spans="6:6" ht="12.45" x14ac:dyDescent="0.3">
      <c r="F235" s="34"/>
    </row>
    <row r="236" spans="6:6" ht="12.45" x14ac:dyDescent="0.3">
      <c r="F236" s="34"/>
    </row>
    <row r="237" spans="6:6" ht="12.45" x14ac:dyDescent="0.3">
      <c r="F237" s="34"/>
    </row>
    <row r="238" spans="6:6" ht="12.45" x14ac:dyDescent="0.3">
      <c r="F238" s="34"/>
    </row>
    <row r="239" spans="6:6" ht="12.45" x14ac:dyDescent="0.3">
      <c r="F239" s="34"/>
    </row>
    <row r="240" spans="6:6" ht="12.45" x14ac:dyDescent="0.3">
      <c r="F240" s="34"/>
    </row>
    <row r="241" spans="6:6" ht="12.45" x14ac:dyDescent="0.3">
      <c r="F241" s="34"/>
    </row>
    <row r="242" spans="6:6" ht="12.45" x14ac:dyDescent="0.3">
      <c r="F242" s="34"/>
    </row>
    <row r="243" spans="6:6" ht="12.45" x14ac:dyDescent="0.3">
      <c r="F243" s="34"/>
    </row>
    <row r="244" spans="6:6" ht="12.45" x14ac:dyDescent="0.3">
      <c r="F244" s="34"/>
    </row>
    <row r="245" spans="6:6" ht="12.45" x14ac:dyDescent="0.3">
      <c r="F245" s="34"/>
    </row>
    <row r="246" spans="6:6" ht="12.45" x14ac:dyDescent="0.3">
      <c r="F246" s="34"/>
    </row>
    <row r="247" spans="6:6" ht="12.45" x14ac:dyDescent="0.3">
      <c r="F247" s="34"/>
    </row>
    <row r="248" spans="6:6" ht="12.45" x14ac:dyDescent="0.3">
      <c r="F248" s="34"/>
    </row>
    <row r="249" spans="6:6" ht="12.45" x14ac:dyDescent="0.3">
      <c r="F249" s="34"/>
    </row>
    <row r="250" spans="6:6" ht="12.45" x14ac:dyDescent="0.3">
      <c r="F250" s="34"/>
    </row>
    <row r="251" spans="6:6" ht="12.45" x14ac:dyDescent="0.3">
      <c r="F251" s="34"/>
    </row>
    <row r="252" spans="6:6" ht="12.45" x14ac:dyDescent="0.3">
      <c r="F252" s="34"/>
    </row>
    <row r="253" spans="6:6" ht="12.45" x14ac:dyDescent="0.3">
      <c r="F253" s="34"/>
    </row>
    <row r="254" spans="6:6" ht="12.45" x14ac:dyDescent="0.3">
      <c r="F254" s="34"/>
    </row>
    <row r="255" spans="6:6" ht="12.45" x14ac:dyDescent="0.3">
      <c r="F255" s="34"/>
    </row>
    <row r="256" spans="6:6" ht="12.45" x14ac:dyDescent="0.3">
      <c r="F256" s="34"/>
    </row>
    <row r="257" spans="6:6" ht="12.45" x14ac:dyDescent="0.3">
      <c r="F257" s="34"/>
    </row>
    <row r="258" spans="6:6" ht="12.45" x14ac:dyDescent="0.3">
      <c r="F258" s="34"/>
    </row>
    <row r="259" spans="6:6" ht="12.45" x14ac:dyDescent="0.3">
      <c r="F259" s="34"/>
    </row>
    <row r="260" spans="6:6" ht="12.45" x14ac:dyDescent="0.3">
      <c r="F260" s="34"/>
    </row>
    <row r="261" spans="6:6" ht="12.45" x14ac:dyDescent="0.3">
      <c r="F261" s="34"/>
    </row>
    <row r="262" spans="6:6" ht="12.45" x14ac:dyDescent="0.3">
      <c r="F262" s="34"/>
    </row>
    <row r="263" spans="6:6" ht="12.45" x14ac:dyDescent="0.3">
      <c r="F263" s="34"/>
    </row>
    <row r="264" spans="6:6" ht="12.45" x14ac:dyDescent="0.3">
      <c r="F264" s="34"/>
    </row>
    <row r="265" spans="6:6" ht="12.45" x14ac:dyDescent="0.3">
      <c r="F265" s="34"/>
    </row>
    <row r="266" spans="6:6" ht="12.45" x14ac:dyDescent="0.3">
      <c r="F266" s="34"/>
    </row>
    <row r="267" spans="6:6" ht="12.45" x14ac:dyDescent="0.3">
      <c r="F267" s="34"/>
    </row>
    <row r="268" spans="6:6" ht="12.45" x14ac:dyDescent="0.3">
      <c r="F268" s="34"/>
    </row>
    <row r="269" spans="6:6" ht="12.45" x14ac:dyDescent="0.3">
      <c r="F269" s="34"/>
    </row>
    <row r="270" spans="6:6" ht="12.45" x14ac:dyDescent="0.3">
      <c r="F270" s="34"/>
    </row>
    <row r="271" spans="6:6" ht="12.45" x14ac:dyDescent="0.3">
      <c r="F271" s="34"/>
    </row>
    <row r="272" spans="6:6" ht="12.45" x14ac:dyDescent="0.3">
      <c r="F272" s="34"/>
    </row>
    <row r="273" spans="6:6" ht="12.45" x14ac:dyDescent="0.3">
      <c r="F273" s="34"/>
    </row>
    <row r="274" spans="6:6" ht="12.45" x14ac:dyDescent="0.3">
      <c r="F274" s="34"/>
    </row>
    <row r="275" spans="6:6" ht="12.45" x14ac:dyDescent="0.3">
      <c r="F275" s="34"/>
    </row>
    <row r="276" spans="6:6" ht="12.45" x14ac:dyDescent="0.3">
      <c r="F276" s="34"/>
    </row>
    <row r="277" spans="6:6" ht="12.45" x14ac:dyDescent="0.3">
      <c r="F277" s="34"/>
    </row>
    <row r="278" spans="6:6" ht="12.45" x14ac:dyDescent="0.3">
      <c r="F278" s="34"/>
    </row>
    <row r="279" spans="6:6" ht="12.45" x14ac:dyDescent="0.3">
      <c r="F279" s="34"/>
    </row>
    <row r="280" spans="6:6" ht="12.45" x14ac:dyDescent="0.3">
      <c r="F280" s="34"/>
    </row>
    <row r="281" spans="6:6" ht="12.45" x14ac:dyDescent="0.3">
      <c r="F281" s="34"/>
    </row>
    <row r="282" spans="6:6" ht="12.45" x14ac:dyDescent="0.3">
      <c r="F282" s="34"/>
    </row>
    <row r="283" spans="6:6" ht="12.45" x14ac:dyDescent="0.3">
      <c r="F283" s="34"/>
    </row>
    <row r="284" spans="6:6" ht="12.45" x14ac:dyDescent="0.3">
      <c r="F284" s="34"/>
    </row>
    <row r="285" spans="6:6" ht="12.45" x14ac:dyDescent="0.3">
      <c r="F285" s="34"/>
    </row>
    <row r="286" spans="6:6" ht="12.45" x14ac:dyDescent="0.3">
      <c r="F286" s="34"/>
    </row>
    <row r="287" spans="6:6" ht="12.45" x14ac:dyDescent="0.3">
      <c r="F287" s="34"/>
    </row>
    <row r="288" spans="6:6" ht="12.45" x14ac:dyDescent="0.3">
      <c r="F288" s="34"/>
    </row>
    <row r="289" spans="6:6" ht="12.45" x14ac:dyDescent="0.3">
      <c r="F289" s="34"/>
    </row>
    <row r="290" spans="6:6" ht="12.45" x14ac:dyDescent="0.3">
      <c r="F290" s="34"/>
    </row>
    <row r="291" spans="6:6" ht="12.45" x14ac:dyDescent="0.3">
      <c r="F291" s="34"/>
    </row>
    <row r="292" spans="6:6" ht="12.45" x14ac:dyDescent="0.3">
      <c r="F292" s="34"/>
    </row>
    <row r="293" spans="6:6" ht="12.45" x14ac:dyDescent="0.3">
      <c r="F293" s="34"/>
    </row>
    <row r="294" spans="6:6" ht="12.45" x14ac:dyDescent="0.3">
      <c r="F294" s="34"/>
    </row>
    <row r="295" spans="6:6" ht="12.45" x14ac:dyDescent="0.3">
      <c r="F295" s="34"/>
    </row>
    <row r="296" spans="6:6" ht="12.45" x14ac:dyDescent="0.3">
      <c r="F296" s="34"/>
    </row>
    <row r="297" spans="6:6" ht="12.45" x14ac:dyDescent="0.3">
      <c r="F297" s="34"/>
    </row>
    <row r="298" spans="6:6" ht="12.45" x14ac:dyDescent="0.3">
      <c r="F298" s="34"/>
    </row>
    <row r="299" spans="6:6" ht="12.45" x14ac:dyDescent="0.3">
      <c r="F299" s="34"/>
    </row>
    <row r="300" spans="6:6" ht="12.45" x14ac:dyDescent="0.3">
      <c r="F300" s="34"/>
    </row>
    <row r="301" spans="6:6" ht="12.45" x14ac:dyDescent="0.3">
      <c r="F301" s="34"/>
    </row>
    <row r="302" spans="6:6" ht="12.45" x14ac:dyDescent="0.3">
      <c r="F302" s="34"/>
    </row>
    <row r="303" spans="6:6" ht="12.45" x14ac:dyDescent="0.3">
      <c r="F303" s="34"/>
    </row>
    <row r="304" spans="6:6" ht="12.45" x14ac:dyDescent="0.3">
      <c r="F304" s="34"/>
    </row>
    <row r="305" spans="6:6" ht="12.45" x14ac:dyDescent="0.3">
      <c r="F305" s="34"/>
    </row>
    <row r="306" spans="6:6" ht="12.45" x14ac:dyDescent="0.3">
      <c r="F306" s="34"/>
    </row>
    <row r="307" spans="6:6" ht="12.45" x14ac:dyDescent="0.3">
      <c r="F307" s="34"/>
    </row>
    <row r="308" spans="6:6" ht="12.45" x14ac:dyDescent="0.3">
      <c r="F308" s="34"/>
    </row>
    <row r="309" spans="6:6" ht="12.45" x14ac:dyDescent="0.3">
      <c r="F309" s="34"/>
    </row>
    <row r="310" spans="6:6" ht="12.45" x14ac:dyDescent="0.3">
      <c r="F310" s="34"/>
    </row>
    <row r="311" spans="6:6" ht="12.45" x14ac:dyDescent="0.3">
      <c r="F311" s="34"/>
    </row>
    <row r="312" spans="6:6" ht="12.45" x14ac:dyDescent="0.3">
      <c r="F312" s="34"/>
    </row>
    <row r="313" spans="6:6" ht="12.45" x14ac:dyDescent="0.3">
      <c r="F313" s="34"/>
    </row>
    <row r="314" spans="6:6" ht="12.45" x14ac:dyDescent="0.3">
      <c r="F314" s="34"/>
    </row>
    <row r="315" spans="6:6" ht="12.45" x14ac:dyDescent="0.3">
      <c r="F315" s="34"/>
    </row>
    <row r="316" spans="6:6" ht="12.45" x14ac:dyDescent="0.3">
      <c r="F316" s="34"/>
    </row>
    <row r="317" spans="6:6" ht="12.45" x14ac:dyDescent="0.3">
      <c r="F317" s="34"/>
    </row>
    <row r="318" spans="6:6" ht="12.45" x14ac:dyDescent="0.3">
      <c r="F318" s="34"/>
    </row>
    <row r="319" spans="6:6" ht="12.45" x14ac:dyDescent="0.3">
      <c r="F319" s="34"/>
    </row>
    <row r="320" spans="6:6" ht="12.45" x14ac:dyDescent="0.3">
      <c r="F320" s="34"/>
    </row>
    <row r="321" spans="6:6" ht="12.45" x14ac:dyDescent="0.3">
      <c r="F321" s="34"/>
    </row>
    <row r="322" spans="6:6" ht="12.45" x14ac:dyDescent="0.3">
      <c r="F322" s="34"/>
    </row>
    <row r="323" spans="6:6" ht="12.45" x14ac:dyDescent="0.3">
      <c r="F323" s="34"/>
    </row>
    <row r="324" spans="6:6" ht="12.45" x14ac:dyDescent="0.3">
      <c r="F324" s="34"/>
    </row>
    <row r="325" spans="6:6" ht="12.45" x14ac:dyDescent="0.3">
      <c r="F325" s="34"/>
    </row>
    <row r="326" spans="6:6" ht="12.45" x14ac:dyDescent="0.3">
      <c r="F326" s="34"/>
    </row>
    <row r="327" spans="6:6" ht="12.45" x14ac:dyDescent="0.3">
      <c r="F327" s="34"/>
    </row>
    <row r="328" spans="6:6" ht="12.45" x14ac:dyDescent="0.3">
      <c r="F328" s="34"/>
    </row>
    <row r="329" spans="6:6" ht="12.45" x14ac:dyDescent="0.3">
      <c r="F329" s="34"/>
    </row>
    <row r="330" spans="6:6" ht="12.45" x14ac:dyDescent="0.3">
      <c r="F330" s="34"/>
    </row>
    <row r="331" spans="6:6" ht="12.45" x14ac:dyDescent="0.3">
      <c r="F331" s="34"/>
    </row>
    <row r="332" spans="6:6" ht="12.45" x14ac:dyDescent="0.3">
      <c r="F332" s="34"/>
    </row>
    <row r="333" spans="6:6" ht="12.45" x14ac:dyDescent="0.3">
      <c r="F333" s="34"/>
    </row>
    <row r="334" spans="6:6" ht="12.45" x14ac:dyDescent="0.3">
      <c r="F334" s="34"/>
    </row>
    <row r="335" spans="6:6" ht="12.45" x14ac:dyDescent="0.3">
      <c r="F335" s="34"/>
    </row>
    <row r="336" spans="6:6" ht="12.45" x14ac:dyDescent="0.3">
      <c r="F336" s="34"/>
    </row>
    <row r="337" spans="6:6" ht="12.45" x14ac:dyDescent="0.3">
      <c r="F337" s="34"/>
    </row>
    <row r="338" spans="6:6" ht="12.45" x14ac:dyDescent="0.3">
      <c r="F338" s="34"/>
    </row>
    <row r="339" spans="6:6" ht="12.45" x14ac:dyDescent="0.3">
      <c r="F339" s="34"/>
    </row>
    <row r="340" spans="6:6" ht="12.45" x14ac:dyDescent="0.3">
      <c r="F340" s="34"/>
    </row>
    <row r="341" spans="6:6" ht="12.45" x14ac:dyDescent="0.3">
      <c r="F341" s="34"/>
    </row>
    <row r="342" spans="6:6" ht="12.45" x14ac:dyDescent="0.3">
      <c r="F342" s="34"/>
    </row>
    <row r="343" spans="6:6" ht="12.45" x14ac:dyDescent="0.3">
      <c r="F343" s="34"/>
    </row>
    <row r="344" spans="6:6" ht="12.45" x14ac:dyDescent="0.3">
      <c r="F344" s="34"/>
    </row>
    <row r="345" spans="6:6" ht="12.45" x14ac:dyDescent="0.3">
      <c r="F345" s="34"/>
    </row>
    <row r="346" spans="6:6" ht="12.45" x14ac:dyDescent="0.3">
      <c r="F346" s="34"/>
    </row>
    <row r="347" spans="6:6" ht="12.45" x14ac:dyDescent="0.3">
      <c r="F347" s="34"/>
    </row>
    <row r="348" spans="6:6" ht="12.45" x14ac:dyDescent="0.3">
      <c r="F348" s="34"/>
    </row>
    <row r="349" spans="6:6" ht="12.45" x14ac:dyDescent="0.3">
      <c r="F349" s="34"/>
    </row>
    <row r="350" spans="6:6" ht="12.45" x14ac:dyDescent="0.3">
      <c r="F350" s="34"/>
    </row>
    <row r="351" spans="6:6" ht="12.45" x14ac:dyDescent="0.3">
      <c r="F351" s="34"/>
    </row>
    <row r="352" spans="6:6" ht="12.45" x14ac:dyDescent="0.3">
      <c r="F352" s="34"/>
    </row>
    <row r="353" spans="6:6" ht="12.45" x14ac:dyDescent="0.3">
      <c r="F353" s="34"/>
    </row>
    <row r="354" spans="6:6" ht="12.45" x14ac:dyDescent="0.3">
      <c r="F354" s="34"/>
    </row>
    <row r="355" spans="6:6" ht="12.45" x14ac:dyDescent="0.3">
      <c r="F355" s="34"/>
    </row>
    <row r="356" spans="6:6" ht="12.45" x14ac:dyDescent="0.3">
      <c r="F356" s="34"/>
    </row>
    <row r="357" spans="6:6" ht="12.45" x14ac:dyDescent="0.3">
      <c r="F357" s="34"/>
    </row>
    <row r="358" spans="6:6" ht="12.45" x14ac:dyDescent="0.3">
      <c r="F358" s="34"/>
    </row>
    <row r="359" spans="6:6" ht="12.45" x14ac:dyDescent="0.3">
      <c r="F359" s="34"/>
    </row>
    <row r="360" spans="6:6" ht="12.45" x14ac:dyDescent="0.3">
      <c r="F360" s="34"/>
    </row>
    <row r="361" spans="6:6" ht="12.45" x14ac:dyDescent="0.3">
      <c r="F361" s="34"/>
    </row>
    <row r="362" spans="6:6" ht="12.45" x14ac:dyDescent="0.3">
      <c r="F362" s="34"/>
    </row>
    <row r="363" spans="6:6" ht="12.45" x14ac:dyDescent="0.3">
      <c r="F363" s="34"/>
    </row>
    <row r="364" spans="6:6" ht="12.45" x14ac:dyDescent="0.3">
      <c r="F364" s="34"/>
    </row>
    <row r="365" spans="6:6" ht="12.45" x14ac:dyDescent="0.3">
      <c r="F365" s="34"/>
    </row>
    <row r="366" spans="6:6" ht="12.45" x14ac:dyDescent="0.3">
      <c r="F366" s="34"/>
    </row>
    <row r="367" spans="6:6" ht="12.45" x14ac:dyDescent="0.3">
      <c r="F367" s="34"/>
    </row>
    <row r="368" spans="6:6" ht="12.45" x14ac:dyDescent="0.3">
      <c r="F368" s="34"/>
    </row>
    <row r="369" spans="6:6" ht="12.45" x14ac:dyDescent="0.3">
      <c r="F369" s="34"/>
    </row>
    <row r="370" spans="6:6" ht="12.45" x14ac:dyDescent="0.3">
      <c r="F370" s="34"/>
    </row>
    <row r="371" spans="6:6" ht="12.45" x14ac:dyDescent="0.3">
      <c r="F371" s="34"/>
    </row>
    <row r="372" spans="6:6" ht="12.45" x14ac:dyDescent="0.3">
      <c r="F372" s="34"/>
    </row>
    <row r="373" spans="6:6" ht="12.45" x14ac:dyDescent="0.3">
      <c r="F373" s="34"/>
    </row>
    <row r="374" spans="6:6" ht="12.45" x14ac:dyDescent="0.3">
      <c r="F374" s="34"/>
    </row>
    <row r="375" spans="6:6" ht="12.45" x14ac:dyDescent="0.3">
      <c r="F375" s="34"/>
    </row>
    <row r="376" spans="6:6" ht="12.45" x14ac:dyDescent="0.3">
      <c r="F376" s="34"/>
    </row>
    <row r="377" spans="6:6" ht="12.45" x14ac:dyDescent="0.3">
      <c r="F377" s="34"/>
    </row>
    <row r="378" spans="6:6" ht="12.45" x14ac:dyDescent="0.3">
      <c r="F378" s="34"/>
    </row>
    <row r="379" spans="6:6" ht="12.45" x14ac:dyDescent="0.3">
      <c r="F379" s="34"/>
    </row>
    <row r="380" spans="6:6" ht="12.45" x14ac:dyDescent="0.3">
      <c r="F380" s="34"/>
    </row>
    <row r="381" spans="6:6" ht="12.45" x14ac:dyDescent="0.3">
      <c r="F381" s="34"/>
    </row>
    <row r="382" spans="6:6" ht="12.45" x14ac:dyDescent="0.3">
      <c r="F382" s="34"/>
    </row>
    <row r="383" spans="6:6" ht="12.45" x14ac:dyDescent="0.3">
      <c r="F383" s="34"/>
    </row>
    <row r="384" spans="6:6" ht="12.45" x14ac:dyDescent="0.3">
      <c r="F384" s="34"/>
    </row>
    <row r="385" spans="6:6" ht="12.45" x14ac:dyDescent="0.3">
      <c r="F385" s="34"/>
    </row>
    <row r="386" spans="6:6" ht="12.45" x14ac:dyDescent="0.3">
      <c r="F386" s="34"/>
    </row>
    <row r="387" spans="6:6" ht="12.45" x14ac:dyDescent="0.3">
      <c r="F387" s="34"/>
    </row>
    <row r="388" spans="6:6" ht="12.45" x14ac:dyDescent="0.3">
      <c r="F388" s="34"/>
    </row>
    <row r="389" spans="6:6" ht="12.45" x14ac:dyDescent="0.3">
      <c r="F389" s="34"/>
    </row>
    <row r="390" spans="6:6" ht="12.45" x14ac:dyDescent="0.3">
      <c r="F390" s="34"/>
    </row>
    <row r="391" spans="6:6" ht="12.45" x14ac:dyDescent="0.3">
      <c r="F391" s="34"/>
    </row>
    <row r="392" spans="6:6" ht="12.45" x14ac:dyDescent="0.3">
      <c r="F392" s="34"/>
    </row>
    <row r="393" spans="6:6" ht="12.45" x14ac:dyDescent="0.3">
      <c r="F393" s="34"/>
    </row>
    <row r="394" spans="6:6" ht="12.45" x14ac:dyDescent="0.3">
      <c r="F394" s="34"/>
    </row>
    <row r="395" spans="6:6" ht="12.45" x14ac:dyDescent="0.3">
      <c r="F395" s="34"/>
    </row>
    <row r="396" spans="6:6" ht="12.45" x14ac:dyDescent="0.3">
      <c r="F396" s="34"/>
    </row>
    <row r="397" spans="6:6" ht="12.45" x14ac:dyDescent="0.3">
      <c r="F397" s="34"/>
    </row>
    <row r="398" spans="6:6" ht="12.45" x14ac:dyDescent="0.3">
      <c r="F398" s="34"/>
    </row>
    <row r="399" spans="6:6" ht="12.45" x14ac:dyDescent="0.3">
      <c r="F399" s="34"/>
    </row>
    <row r="400" spans="6:6" ht="12.45" x14ac:dyDescent="0.3">
      <c r="F400" s="34"/>
    </row>
    <row r="401" spans="6:6" ht="12.45" x14ac:dyDescent="0.3">
      <c r="F401" s="34"/>
    </row>
    <row r="402" spans="6:6" ht="12.45" x14ac:dyDescent="0.3">
      <c r="F402" s="34"/>
    </row>
    <row r="403" spans="6:6" ht="12.45" x14ac:dyDescent="0.3">
      <c r="F403" s="34"/>
    </row>
    <row r="404" spans="6:6" ht="12.45" x14ac:dyDescent="0.3">
      <c r="F404" s="34"/>
    </row>
    <row r="405" spans="6:6" ht="12.45" x14ac:dyDescent="0.3">
      <c r="F405" s="34"/>
    </row>
    <row r="406" spans="6:6" ht="12.45" x14ac:dyDescent="0.3">
      <c r="F406" s="34"/>
    </row>
    <row r="407" spans="6:6" ht="12.45" x14ac:dyDescent="0.3">
      <c r="F407" s="34"/>
    </row>
    <row r="408" spans="6:6" ht="12.45" x14ac:dyDescent="0.3">
      <c r="F408" s="34"/>
    </row>
    <row r="409" spans="6:6" ht="12.45" x14ac:dyDescent="0.3">
      <c r="F409" s="34"/>
    </row>
    <row r="410" spans="6:6" ht="12.45" x14ac:dyDescent="0.3">
      <c r="F410" s="34"/>
    </row>
    <row r="411" spans="6:6" ht="12.45" x14ac:dyDescent="0.3">
      <c r="F411" s="34"/>
    </row>
    <row r="412" spans="6:6" ht="12.45" x14ac:dyDescent="0.3">
      <c r="F412" s="34"/>
    </row>
    <row r="413" spans="6:6" ht="12.45" x14ac:dyDescent="0.3">
      <c r="F413" s="34"/>
    </row>
    <row r="414" spans="6:6" ht="12.45" x14ac:dyDescent="0.3">
      <c r="F414" s="34"/>
    </row>
    <row r="415" spans="6:6" ht="12.45" x14ac:dyDescent="0.3">
      <c r="F415" s="34"/>
    </row>
    <row r="416" spans="6:6" ht="12.45" x14ac:dyDescent="0.3">
      <c r="F416" s="34"/>
    </row>
    <row r="417" spans="6:6" ht="12.45" x14ac:dyDescent="0.3">
      <c r="F417" s="34"/>
    </row>
    <row r="418" spans="6:6" ht="12.45" x14ac:dyDescent="0.3">
      <c r="F418" s="34"/>
    </row>
    <row r="419" spans="6:6" ht="12.45" x14ac:dyDescent="0.3">
      <c r="F419" s="34"/>
    </row>
    <row r="420" spans="6:6" ht="12.45" x14ac:dyDescent="0.3">
      <c r="F420" s="34"/>
    </row>
    <row r="421" spans="6:6" ht="12.45" x14ac:dyDescent="0.3">
      <c r="F421" s="34"/>
    </row>
    <row r="422" spans="6:6" ht="12.45" x14ac:dyDescent="0.3">
      <c r="F422" s="34"/>
    </row>
    <row r="423" spans="6:6" ht="12.45" x14ac:dyDescent="0.3">
      <c r="F423" s="34"/>
    </row>
    <row r="424" spans="6:6" ht="12.45" x14ac:dyDescent="0.3">
      <c r="F424" s="34"/>
    </row>
    <row r="425" spans="6:6" ht="12.45" x14ac:dyDescent="0.3">
      <c r="F425" s="34"/>
    </row>
    <row r="426" spans="6:6" ht="12.45" x14ac:dyDescent="0.3">
      <c r="F426" s="34"/>
    </row>
    <row r="427" spans="6:6" ht="12.45" x14ac:dyDescent="0.3">
      <c r="F427" s="34"/>
    </row>
    <row r="428" spans="6:6" ht="12.45" x14ac:dyDescent="0.3">
      <c r="F428" s="34"/>
    </row>
    <row r="429" spans="6:6" ht="12.45" x14ac:dyDescent="0.3">
      <c r="F429" s="34"/>
    </row>
    <row r="430" spans="6:6" ht="12.45" x14ac:dyDescent="0.3">
      <c r="F430" s="34"/>
    </row>
    <row r="431" spans="6:6" ht="12.45" x14ac:dyDescent="0.3">
      <c r="F431" s="34"/>
    </row>
    <row r="432" spans="6:6" ht="12.45" x14ac:dyDescent="0.3">
      <c r="F432" s="34"/>
    </row>
    <row r="433" spans="6:6" ht="12.45" x14ac:dyDescent="0.3">
      <c r="F433" s="34"/>
    </row>
    <row r="434" spans="6:6" ht="12.45" x14ac:dyDescent="0.3">
      <c r="F434" s="34"/>
    </row>
    <row r="435" spans="6:6" ht="12.45" x14ac:dyDescent="0.3">
      <c r="F435" s="34"/>
    </row>
    <row r="436" spans="6:6" ht="12.45" x14ac:dyDescent="0.3">
      <c r="F436" s="34"/>
    </row>
    <row r="437" spans="6:6" ht="12.45" x14ac:dyDescent="0.3">
      <c r="F437" s="34"/>
    </row>
    <row r="438" spans="6:6" ht="12.45" x14ac:dyDescent="0.3">
      <c r="F438" s="34"/>
    </row>
    <row r="439" spans="6:6" ht="12.45" x14ac:dyDescent="0.3">
      <c r="F439" s="34"/>
    </row>
    <row r="440" spans="6:6" ht="12.45" x14ac:dyDescent="0.3">
      <c r="F440" s="34"/>
    </row>
    <row r="441" spans="6:6" ht="12.45" x14ac:dyDescent="0.3">
      <c r="F441" s="34"/>
    </row>
    <row r="442" spans="6:6" ht="12.45" x14ac:dyDescent="0.3">
      <c r="F442" s="34"/>
    </row>
    <row r="443" spans="6:6" ht="12.45" x14ac:dyDescent="0.3">
      <c r="F443" s="34"/>
    </row>
    <row r="444" spans="6:6" ht="12.45" x14ac:dyDescent="0.3">
      <c r="F444" s="34"/>
    </row>
    <row r="445" spans="6:6" ht="12.45" x14ac:dyDescent="0.3">
      <c r="F445" s="34"/>
    </row>
    <row r="446" spans="6:6" ht="12.45" x14ac:dyDescent="0.3">
      <c r="F446" s="34"/>
    </row>
    <row r="447" spans="6:6" ht="12.45" x14ac:dyDescent="0.3">
      <c r="F447" s="34"/>
    </row>
    <row r="448" spans="6:6" ht="12.45" x14ac:dyDescent="0.3">
      <c r="F448" s="34"/>
    </row>
    <row r="449" spans="6:6" ht="12.45" x14ac:dyDescent="0.3">
      <c r="F449" s="34"/>
    </row>
    <row r="450" spans="6:6" ht="12.45" x14ac:dyDescent="0.3">
      <c r="F450" s="34"/>
    </row>
    <row r="451" spans="6:6" ht="12.45" x14ac:dyDescent="0.3">
      <c r="F451" s="34"/>
    </row>
    <row r="452" spans="6:6" ht="12.45" x14ac:dyDescent="0.3">
      <c r="F452" s="34"/>
    </row>
    <row r="453" spans="6:6" ht="12.45" x14ac:dyDescent="0.3">
      <c r="F453" s="34"/>
    </row>
    <row r="454" spans="6:6" ht="12.45" x14ac:dyDescent="0.3">
      <c r="F454" s="34"/>
    </row>
    <row r="455" spans="6:6" ht="12.45" x14ac:dyDescent="0.3">
      <c r="F455" s="34"/>
    </row>
    <row r="456" spans="6:6" ht="12.45" x14ac:dyDescent="0.3">
      <c r="F456" s="34"/>
    </row>
    <row r="457" spans="6:6" ht="12.45" x14ac:dyDescent="0.3">
      <c r="F457" s="34"/>
    </row>
    <row r="458" spans="6:6" ht="12.45" x14ac:dyDescent="0.3">
      <c r="F458" s="34"/>
    </row>
    <row r="459" spans="6:6" ht="12.45" x14ac:dyDescent="0.3">
      <c r="F459" s="34"/>
    </row>
    <row r="460" spans="6:6" ht="12.45" x14ac:dyDescent="0.3">
      <c r="F460" s="34"/>
    </row>
    <row r="461" spans="6:6" ht="12.45" x14ac:dyDescent="0.3">
      <c r="F461" s="34"/>
    </row>
    <row r="462" spans="6:6" ht="12.45" x14ac:dyDescent="0.3">
      <c r="F462" s="34"/>
    </row>
    <row r="463" spans="6:6" ht="12.45" x14ac:dyDescent="0.3">
      <c r="F463" s="34"/>
    </row>
    <row r="464" spans="6:6" ht="12.45" x14ac:dyDescent="0.3">
      <c r="F464" s="34"/>
    </row>
    <row r="465" spans="6:6" ht="12.45" x14ac:dyDescent="0.3">
      <c r="F465" s="34"/>
    </row>
    <row r="466" spans="6:6" ht="12.45" x14ac:dyDescent="0.3">
      <c r="F466" s="34"/>
    </row>
    <row r="467" spans="6:6" ht="12.45" x14ac:dyDescent="0.3">
      <c r="F467" s="34"/>
    </row>
    <row r="468" spans="6:6" ht="12.45" x14ac:dyDescent="0.3">
      <c r="F468" s="34"/>
    </row>
    <row r="469" spans="6:6" ht="12.45" x14ac:dyDescent="0.3">
      <c r="F469" s="34"/>
    </row>
    <row r="470" spans="6:6" ht="12.45" x14ac:dyDescent="0.3">
      <c r="F470" s="34"/>
    </row>
    <row r="471" spans="6:6" ht="12.45" x14ac:dyDescent="0.3">
      <c r="F471" s="34"/>
    </row>
    <row r="472" spans="6:6" ht="12.45" x14ac:dyDescent="0.3">
      <c r="F472" s="34"/>
    </row>
    <row r="473" spans="6:6" ht="12.45" x14ac:dyDescent="0.3">
      <c r="F473" s="34"/>
    </row>
    <row r="474" spans="6:6" ht="12.45" x14ac:dyDescent="0.3">
      <c r="F474" s="34"/>
    </row>
    <row r="475" spans="6:6" ht="12.45" x14ac:dyDescent="0.3">
      <c r="F475" s="34"/>
    </row>
    <row r="476" spans="6:6" ht="12.45" x14ac:dyDescent="0.3">
      <c r="F476" s="34"/>
    </row>
    <row r="477" spans="6:6" ht="12.45" x14ac:dyDescent="0.3">
      <c r="F477" s="34"/>
    </row>
    <row r="478" spans="6:6" ht="12.45" x14ac:dyDescent="0.3">
      <c r="F478" s="34"/>
    </row>
    <row r="479" spans="6:6" ht="12.45" x14ac:dyDescent="0.3">
      <c r="F479" s="34"/>
    </row>
    <row r="480" spans="6:6" ht="12.45" x14ac:dyDescent="0.3">
      <c r="F480" s="34"/>
    </row>
    <row r="481" spans="6:6" ht="12.45" x14ac:dyDescent="0.3">
      <c r="F481" s="34"/>
    </row>
    <row r="482" spans="6:6" ht="12.45" x14ac:dyDescent="0.3">
      <c r="F482" s="34"/>
    </row>
    <row r="483" spans="6:6" ht="12.45" x14ac:dyDescent="0.3">
      <c r="F483" s="34"/>
    </row>
    <row r="484" spans="6:6" ht="12.45" x14ac:dyDescent="0.3">
      <c r="F484" s="34"/>
    </row>
    <row r="485" spans="6:6" ht="12.45" x14ac:dyDescent="0.3">
      <c r="F485" s="34"/>
    </row>
    <row r="486" spans="6:6" ht="12.45" x14ac:dyDescent="0.3">
      <c r="F486" s="34"/>
    </row>
    <row r="487" spans="6:6" ht="12.45" x14ac:dyDescent="0.3">
      <c r="F487" s="34"/>
    </row>
    <row r="488" spans="6:6" ht="12.45" x14ac:dyDescent="0.3">
      <c r="F488" s="34"/>
    </row>
    <row r="489" spans="6:6" ht="12.45" x14ac:dyDescent="0.3">
      <c r="F489" s="34"/>
    </row>
    <row r="490" spans="6:6" ht="12.45" x14ac:dyDescent="0.3">
      <c r="F490" s="34"/>
    </row>
    <row r="491" spans="6:6" ht="12.45" x14ac:dyDescent="0.3">
      <c r="F491" s="34"/>
    </row>
    <row r="492" spans="6:6" ht="12.45" x14ac:dyDescent="0.3">
      <c r="F492" s="34"/>
    </row>
    <row r="493" spans="6:6" ht="12.45" x14ac:dyDescent="0.3">
      <c r="F493" s="34"/>
    </row>
    <row r="494" spans="6:6" ht="12.45" x14ac:dyDescent="0.3">
      <c r="F494" s="34"/>
    </row>
    <row r="495" spans="6:6" ht="12.45" x14ac:dyDescent="0.3">
      <c r="F495" s="34"/>
    </row>
    <row r="496" spans="6:6" ht="12.45" x14ac:dyDescent="0.3">
      <c r="F496" s="34"/>
    </row>
    <row r="497" spans="6:6" ht="12.45" x14ac:dyDescent="0.3">
      <c r="F497" s="34"/>
    </row>
    <row r="498" spans="6:6" ht="12.45" x14ac:dyDescent="0.3">
      <c r="F498" s="34"/>
    </row>
    <row r="499" spans="6:6" ht="12.45" x14ac:dyDescent="0.3">
      <c r="F499" s="34"/>
    </row>
    <row r="500" spans="6:6" ht="12.45" x14ac:dyDescent="0.3">
      <c r="F500" s="34"/>
    </row>
    <row r="501" spans="6:6" ht="12.45" x14ac:dyDescent="0.3">
      <c r="F501" s="34"/>
    </row>
    <row r="502" spans="6:6" ht="12.45" x14ac:dyDescent="0.3">
      <c r="F502" s="34"/>
    </row>
    <row r="503" spans="6:6" ht="12.45" x14ac:dyDescent="0.3">
      <c r="F503" s="34"/>
    </row>
    <row r="504" spans="6:6" ht="12.45" x14ac:dyDescent="0.3">
      <c r="F504" s="34"/>
    </row>
    <row r="505" spans="6:6" ht="12.45" x14ac:dyDescent="0.3">
      <c r="F505" s="34"/>
    </row>
    <row r="506" spans="6:6" ht="12.45" x14ac:dyDescent="0.3">
      <c r="F506" s="34"/>
    </row>
    <row r="507" spans="6:6" ht="12.45" x14ac:dyDescent="0.3">
      <c r="F507" s="34"/>
    </row>
    <row r="508" spans="6:6" ht="12.45" x14ac:dyDescent="0.3">
      <c r="F508" s="34"/>
    </row>
    <row r="509" spans="6:6" ht="12.45" x14ac:dyDescent="0.3">
      <c r="F509" s="34"/>
    </row>
    <row r="510" spans="6:6" ht="12.45" x14ac:dyDescent="0.3">
      <c r="F510" s="34"/>
    </row>
    <row r="511" spans="6:6" ht="12.45" x14ac:dyDescent="0.3">
      <c r="F511" s="34"/>
    </row>
    <row r="512" spans="6:6" ht="12.45" x14ac:dyDescent="0.3">
      <c r="F512" s="34"/>
    </row>
    <row r="513" spans="6:6" ht="12.45" x14ac:dyDescent="0.3">
      <c r="F513" s="34"/>
    </row>
    <row r="514" spans="6:6" ht="12.45" x14ac:dyDescent="0.3">
      <c r="F514" s="34"/>
    </row>
    <row r="515" spans="6:6" ht="12.45" x14ac:dyDescent="0.3">
      <c r="F515" s="34"/>
    </row>
    <row r="516" spans="6:6" ht="12.45" x14ac:dyDescent="0.3">
      <c r="F516" s="34"/>
    </row>
    <row r="517" spans="6:6" ht="12.45" x14ac:dyDescent="0.3">
      <c r="F517" s="34"/>
    </row>
    <row r="518" spans="6:6" ht="12.45" x14ac:dyDescent="0.3">
      <c r="F518" s="34"/>
    </row>
    <row r="519" spans="6:6" ht="12.45" x14ac:dyDescent="0.3">
      <c r="F519" s="34"/>
    </row>
    <row r="520" spans="6:6" ht="12.45" x14ac:dyDescent="0.3">
      <c r="F520" s="34"/>
    </row>
    <row r="521" spans="6:6" ht="12.45" x14ac:dyDescent="0.3">
      <c r="F521" s="34"/>
    </row>
    <row r="522" spans="6:6" ht="12.45" x14ac:dyDescent="0.3">
      <c r="F522" s="34"/>
    </row>
    <row r="523" spans="6:6" ht="12.45" x14ac:dyDescent="0.3">
      <c r="F523" s="34"/>
    </row>
    <row r="524" spans="6:6" ht="12.45" x14ac:dyDescent="0.3">
      <c r="F524" s="34"/>
    </row>
    <row r="525" spans="6:6" ht="12.45" x14ac:dyDescent="0.3">
      <c r="F525" s="34"/>
    </row>
    <row r="526" spans="6:6" ht="12.45" x14ac:dyDescent="0.3">
      <c r="F526" s="34"/>
    </row>
    <row r="527" spans="6:6" ht="12.45" x14ac:dyDescent="0.3">
      <c r="F527" s="34"/>
    </row>
    <row r="528" spans="6:6" ht="12.45" x14ac:dyDescent="0.3">
      <c r="F528" s="34"/>
    </row>
    <row r="529" spans="6:6" ht="12.45" x14ac:dyDescent="0.3">
      <c r="F529" s="34"/>
    </row>
    <row r="530" spans="6:6" ht="12.45" x14ac:dyDescent="0.3">
      <c r="F530" s="34"/>
    </row>
    <row r="531" spans="6:6" ht="12.45" x14ac:dyDescent="0.3">
      <c r="F531" s="34"/>
    </row>
    <row r="532" spans="6:6" ht="12.45" x14ac:dyDescent="0.3">
      <c r="F532" s="34"/>
    </row>
    <row r="533" spans="6:6" ht="12.45" x14ac:dyDescent="0.3">
      <c r="F533" s="34"/>
    </row>
    <row r="534" spans="6:6" ht="12.45" x14ac:dyDescent="0.3">
      <c r="F534" s="34"/>
    </row>
    <row r="535" spans="6:6" ht="12.45" x14ac:dyDescent="0.3">
      <c r="F535" s="34"/>
    </row>
    <row r="536" spans="6:6" ht="12.45" x14ac:dyDescent="0.3">
      <c r="F536" s="34"/>
    </row>
    <row r="537" spans="6:6" ht="12.45" x14ac:dyDescent="0.3">
      <c r="F537" s="34"/>
    </row>
    <row r="538" spans="6:6" ht="12.45" x14ac:dyDescent="0.3">
      <c r="F538" s="34"/>
    </row>
    <row r="539" spans="6:6" ht="12.45" x14ac:dyDescent="0.3">
      <c r="F539" s="34"/>
    </row>
    <row r="540" spans="6:6" ht="12.45" x14ac:dyDescent="0.3">
      <c r="F540" s="34"/>
    </row>
    <row r="541" spans="6:6" ht="12.45" x14ac:dyDescent="0.3">
      <c r="F541" s="34"/>
    </row>
    <row r="542" spans="6:6" ht="12.45" x14ac:dyDescent="0.3">
      <c r="F542" s="34"/>
    </row>
    <row r="543" spans="6:6" ht="12.45" x14ac:dyDescent="0.3">
      <c r="F543" s="34"/>
    </row>
    <row r="544" spans="6:6" ht="12.45" x14ac:dyDescent="0.3">
      <c r="F544" s="34"/>
    </row>
    <row r="545" spans="6:6" ht="12.45" x14ac:dyDescent="0.3">
      <c r="F545" s="34"/>
    </row>
    <row r="546" spans="6:6" ht="12.45" x14ac:dyDescent="0.3">
      <c r="F546" s="34"/>
    </row>
    <row r="547" spans="6:6" ht="12.45" x14ac:dyDescent="0.3">
      <c r="F547" s="34"/>
    </row>
    <row r="548" spans="6:6" ht="12.45" x14ac:dyDescent="0.3">
      <c r="F548" s="34"/>
    </row>
    <row r="549" spans="6:6" ht="12.45" x14ac:dyDescent="0.3">
      <c r="F549" s="34"/>
    </row>
    <row r="550" spans="6:6" ht="12.45" x14ac:dyDescent="0.3">
      <c r="F550" s="34"/>
    </row>
    <row r="551" spans="6:6" ht="12.45" x14ac:dyDescent="0.3">
      <c r="F551" s="34"/>
    </row>
    <row r="552" spans="6:6" ht="12.45" x14ac:dyDescent="0.3">
      <c r="F552" s="34"/>
    </row>
    <row r="553" spans="6:6" ht="12.45" x14ac:dyDescent="0.3">
      <c r="F553" s="34"/>
    </row>
    <row r="554" spans="6:6" ht="12.45" x14ac:dyDescent="0.3">
      <c r="F554" s="34"/>
    </row>
    <row r="555" spans="6:6" ht="12.45" x14ac:dyDescent="0.3">
      <c r="F555" s="34"/>
    </row>
    <row r="556" spans="6:6" ht="12.45" x14ac:dyDescent="0.3">
      <c r="F556" s="34"/>
    </row>
    <row r="557" spans="6:6" ht="12.45" x14ac:dyDescent="0.3">
      <c r="F557" s="34"/>
    </row>
    <row r="558" spans="6:6" ht="12.45" x14ac:dyDescent="0.3">
      <c r="F558" s="34"/>
    </row>
    <row r="559" spans="6:6" ht="12.45" x14ac:dyDescent="0.3">
      <c r="F559" s="34"/>
    </row>
    <row r="560" spans="6:6" ht="12.45" x14ac:dyDescent="0.3">
      <c r="F560" s="34"/>
    </row>
    <row r="561" spans="6:6" ht="12.45" x14ac:dyDescent="0.3">
      <c r="F561" s="34"/>
    </row>
    <row r="562" spans="6:6" ht="12.45" x14ac:dyDescent="0.3">
      <c r="F562" s="34"/>
    </row>
    <row r="563" spans="6:6" ht="12.45" x14ac:dyDescent="0.3">
      <c r="F563" s="34"/>
    </row>
    <row r="564" spans="6:6" ht="12.45" x14ac:dyDescent="0.3">
      <c r="F564" s="34"/>
    </row>
    <row r="565" spans="6:6" ht="12.45" x14ac:dyDescent="0.3">
      <c r="F565" s="34"/>
    </row>
    <row r="566" spans="6:6" ht="12.45" x14ac:dyDescent="0.3">
      <c r="F566" s="34"/>
    </row>
    <row r="567" spans="6:6" ht="12.45" x14ac:dyDescent="0.3">
      <c r="F567" s="34"/>
    </row>
    <row r="568" spans="6:6" ht="12.45" x14ac:dyDescent="0.3">
      <c r="F568" s="34"/>
    </row>
    <row r="569" spans="6:6" ht="12.45" x14ac:dyDescent="0.3">
      <c r="F569" s="34"/>
    </row>
    <row r="570" spans="6:6" ht="12.45" x14ac:dyDescent="0.3">
      <c r="F570" s="34"/>
    </row>
    <row r="571" spans="6:6" ht="12.45" x14ac:dyDescent="0.3">
      <c r="F571" s="34"/>
    </row>
    <row r="572" spans="6:6" ht="12.45" x14ac:dyDescent="0.3">
      <c r="F572" s="34"/>
    </row>
    <row r="573" spans="6:6" ht="12.45" x14ac:dyDescent="0.3">
      <c r="F573" s="34"/>
    </row>
    <row r="574" spans="6:6" ht="12.45" x14ac:dyDescent="0.3">
      <c r="F574" s="34"/>
    </row>
    <row r="575" spans="6:6" ht="12.45" x14ac:dyDescent="0.3">
      <c r="F575" s="34"/>
    </row>
    <row r="576" spans="6:6" ht="12.45" x14ac:dyDescent="0.3">
      <c r="F576" s="34"/>
    </row>
    <row r="577" spans="6:6" ht="12.45" x14ac:dyDescent="0.3">
      <c r="F577" s="34"/>
    </row>
    <row r="578" spans="6:6" ht="12.45" x14ac:dyDescent="0.3">
      <c r="F578" s="34"/>
    </row>
    <row r="579" spans="6:6" ht="12.45" x14ac:dyDescent="0.3">
      <c r="F579" s="34"/>
    </row>
    <row r="580" spans="6:6" ht="12.45" x14ac:dyDescent="0.3">
      <c r="F580" s="34"/>
    </row>
    <row r="581" spans="6:6" ht="12.45" x14ac:dyDescent="0.3">
      <c r="F581" s="34"/>
    </row>
    <row r="582" spans="6:6" ht="12.45" x14ac:dyDescent="0.3">
      <c r="F582" s="34"/>
    </row>
    <row r="583" spans="6:6" ht="12.45" x14ac:dyDescent="0.3">
      <c r="F583" s="34"/>
    </row>
    <row r="584" spans="6:6" ht="12.45" x14ac:dyDescent="0.3">
      <c r="F584" s="34"/>
    </row>
    <row r="585" spans="6:6" ht="12.45" x14ac:dyDescent="0.3">
      <c r="F585" s="34"/>
    </row>
    <row r="586" spans="6:6" ht="12.45" x14ac:dyDescent="0.3">
      <c r="F586" s="34"/>
    </row>
    <row r="587" spans="6:6" ht="12.45" x14ac:dyDescent="0.3">
      <c r="F587" s="34"/>
    </row>
    <row r="588" spans="6:6" ht="12.45" x14ac:dyDescent="0.3">
      <c r="F588" s="34"/>
    </row>
    <row r="589" spans="6:6" ht="12.45" x14ac:dyDescent="0.3">
      <c r="F589" s="34"/>
    </row>
    <row r="590" spans="6:6" ht="12.45" x14ac:dyDescent="0.3">
      <c r="F590" s="34"/>
    </row>
    <row r="591" spans="6:6" ht="12.45" x14ac:dyDescent="0.3">
      <c r="F591" s="34"/>
    </row>
    <row r="592" spans="6:6" ht="12.45" x14ac:dyDescent="0.3">
      <c r="F592" s="34"/>
    </row>
    <row r="593" spans="6:6" ht="12.45" x14ac:dyDescent="0.3">
      <c r="F593" s="34"/>
    </row>
    <row r="594" spans="6:6" ht="12.45" x14ac:dyDescent="0.3">
      <c r="F594" s="34"/>
    </row>
    <row r="595" spans="6:6" ht="12.45" x14ac:dyDescent="0.3">
      <c r="F595" s="34"/>
    </row>
    <row r="596" spans="6:6" ht="12.45" x14ac:dyDescent="0.3">
      <c r="F596" s="34"/>
    </row>
    <row r="597" spans="6:6" ht="12.45" x14ac:dyDescent="0.3">
      <c r="F597" s="34"/>
    </row>
    <row r="598" spans="6:6" ht="12.45" x14ac:dyDescent="0.3">
      <c r="F598" s="34"/>
    </row>
    <row r="599" spans="6:6" ht="12.45" x14ac:dyDescent="0.3">
      <c r="F599" s="34"/>
    </row>
    <row r="600" spans="6:6" ht="12.45" x14ac:dyDescent="0.3">
      <c r="F600" s="34"/>
    </row>
    <row r="601" spans="6:6" ht="12.45" x14ac:dyDescent="0.3">
      <c r="F601" s="34"/>
    </row>
    <row r="602" spans="6:6" ht="12.45" x14ac:dyDescent="0.3">
      <c r="F602" s="34"/>
    </row>
    <row r="603" spans="6:6" ht="12.45" x14ac:dyDescent="0.3">
      <c r="F603" s="34"/>
    </row>
    <row r="604" spans="6:6" ht="12.45" x14ac:dyDescent="0.3">
      <c r="F604" s="34"/>
    </row>
    <row r="605" spans="6:6" ht="12.45" x14ac:dyDescent="0.3">
      <c r="F605" s="34"/>
    </row>
    <row r="606" spans="6:6" ht="12.45" x14ac:dyDescent="0.3">
      <c r="F606" s="34"/>
    </row>
    <row r="607" spans="6:6" ht="12.45" x14ac:dyDescent="0.3">
      <c r="F607" s="34"/>
    </row>
    <row r="608" spans="6:6" ht="12.45" x14ac:dyDescent="0.3">
      <c r="F608" s="34"/>
    </row>
    <row r="609" spans="6:6" ht="12.45" x14ac:dyDescent="0.3">
      <c r="F609" s="34"/>
    </row>
    <row r="610" spans="6:6" ht="12.45" x14ac:dyDescent="0.3">
      <c r="F610" s="34"/>
    </row>
    <row r="611" spans="6:6" ht="12.45" x14ac:dyDescent="0.3">
      <c r="F611" s="34"/>
    </row>
    <row r="612" spans="6:6" ht="12.45" x14ac:dyDescent="0.3">
      <c r="F612" s="34"/>
    </row>
    <row r="613" spans="6:6" ht="12.45" x14ac:dyDescent="0.3">
      <c r="F613" s="34"/>
    </row>
    <row r="614" spans="6:6" ht="12.45" x14ac:dyDescent="0.3">
      <c r="F614" s="34"/>
    </row>
    <row r="615" spans="6:6" ht="12.45" x14ac:dyDescent="0.3">
      <c r="F615" s="34"/>
    </row>
    <row r="616" spans="6:6" ht="12.45" x14ac:dyDescent="0.3">
      <c r="F616" s="34"/>
    </row>
    <row r="617" spans="6:6" ht="12.45" x14ac:dyDescent="0.3">
      <c r="F617" s="34"/>
    </row>
    <row r="618" spans="6:6" ht="12.45" x14ac:dyDescent="0.3">
      <c r="F618" s="34"/>
    </row>
    <row r="619" spans="6:6" ht="12.45" x14ac:dyDescent="0.3">
      <c r="F619" s="34"/>
    </row>
    <row r="620" spans="6:6" ht="12.45" x14ac:dyDescent="0.3">
      <c r="F620" s="34"/>
    </row>
    <row r="621" spans="6:6" ht="12.45" x14ac:dyDescent="0.3">
      <c r="F621" s="34"/>
    </row>
    <row r="622" spans="6:6" ht="12.45" x14ac:dyDescent="0.3">
      <c r="F622" s="34"/>
    </row>
    <row r="623" spans="6:6" ht="12.45" x14ac:dyDescent="0.3">
      <c r="F623" s="34"/>
    </row>
    <row r="624" spans="6:6" ht="12.45" x14ac:dyDescent="0.3">
      <c r="F624" s="34"/>
    </row>
    <row r="625" spans="6:6" ht="12.45" x14ac:dyDescent="0.3">
      <c r="F625" s="34"/>
    </row>
    <row r="626" spans="6:6" ht="12.45" x14ac:dyDescent="0.3">
      <c r="F626" s="34"/>
    </row>
    <row r="627" spans="6:6" ht="12.45" x14ac:dyDescent="0.3">
      <c r="F627" s="34"/>
    </row>
    <row r="628" spans="6:6" ht="12.45" x14ac:dyDescent="0.3">
      <c r="F628" s="34"/>
    </row>
    <row r="629" spans="6:6" ht="12.45" x14ac:dyDescent="0.3">
      <c r="F629" s="34"/>
    </row>
    <row r="630" spans="6:6" ht="12.45" x14ac:dyDescent="0.3">
      <c r="F630" s="34"/>
    </row>
    <row r="631" spans="6:6" ht="12.45" x14ac:dyDescent="0.3">
      <c r="F631" s="34"/>
    </row>
    <row r="632" spans="6:6" ht="12.45" x14ac:dyDescent="0.3">
      <c r="F632" s="34"/>
    </row>
    <row r="633" spans="6:6" ht="12.45" x14ac:dyDescent="0.3">
      <c r="F633" s="34"/>
    </row>
    <row r="634" spans="6:6" ht="12.45" x14ac:dyDescent="0.3">
      <c r="F634" s="34"/>
    </row>
    <row r="635" spans="6:6" ht="12.45" x14ac:dyDescent="0.3">
      <c r="F635" s="34"/>
    </row>
    <row r="636" spans="6:6" ht="12.45" x14ac:dyDescent="0.3">
      <c r="F636" s="34"/>
    </row>
    <row r="637" spans="6:6" ht="12.45" x14ac:dyDescent="0.3">
      <c r="F637" s="34"/>
    </row>
    <row r="638" spans="6:6" ht="12.45" x14ac:dyDescent="0.3">
      <c r="F638" s="34"/>
    </row>
    <row r="639" spans="6:6" ht="12.45" x14ac:dyDescent="0.3">
      <c r="F639" s="34"/>
    </row>
    <row r="640" spans="6:6" ht="12.45" x14ac:dyDescent="0.3">
      <c r="F640" s="34"/>
    </row>
    <row r="641" spans="6:6" ht="12.45" x14ac:dyDescent="0.3">
      <c r="F641" s="34"/>
    </row>
    <row r="642" spans="6:6" ht="12.45" x14ac:dyDescent="0.3">
      <c r="F642" s="34"/>
    </row>
    <row r="643" spans="6:6" ht="12.45" x14ac:dyDescent="0.3">
      <c r="F643" s="34"/>
    </row>
    <row r="644" spans="6:6" ht="12.45" x14ac:dyDescent="0.3">
      <c r="F644" s="34"/>
    </row>
    <row r="645" spans="6:6" ht="12.45" x14ac:dyDescent="0.3">
      <c r="F645" s="34"/>
    </row>
    <row r="646" spans="6:6" ht="12.45" x14ac:dyDescent="0.3">
      <c r="F646" s="34"/>
    </row>
    <row r="647" spans="6:6" ht="12.45" x14ac:dyDescent="0.3">
      <c r="F647" s="34"/>
    </row>
    <row r="648" spans="6:6" ht="12.45" x14ac:dyDescent="0.3">
      <c r="F648" s="34"/>
    </row>
    <row r="649" spans="6:6" ht="12.45" x14ac:dyDescent="0.3">
      <c r="F649" s="34"/>
    </row>
    <row r="650" spans="6:6" ht="12.45" x14ac:dyDescent="0.3">
      <c r="F650" s="34"/>
    </row>
    <row r="651" spans="6:6" ht="12.45" x14ac:dyDescent="0.3">
      <c r="F651" s="34"/>
    </row>
    <row r="652" spans="6:6" ht="12.45" x14ac:dyDescent="0.3">
      <c r="F652" s="34"/>
    </row>
    <row r="653" spans="6:6" ht="12.45" x14ac:dyDescent="0.3">
      <c r="F653" s="34"/>
    </row>
    <row r="654" spans="6:6" ht="12.45" x14ac:dyDescent="0.3">
      <c r="F654" s="34"/>
    </row>
    <row r="655" spans="6:6" ht="12.45" x14ac:dyDescent="0.3">
      <c r="F655" s="34"/>
    </row>
    <row r="656" spans="6:6" ht="12.45" x14ac:dyDescent="0.3">
      <c r="F656" s="34"/>
    </row>
    <row r="657" spans="6:6" ht="12.45" x14ac:dyDescent="0.3">
      <c r="F657" s="34"/>
    </row>
    <row r="658" spans="6:6" ht="12.45" x14ac:dyDescent="0.3">
      <c r="F658" s="34"/>
    </row>
    <row r="659" spans="6:6" ht="12.45" x14ac:dyDescent="0.3">
      <c r="F659" s="34"/>
    </row>
    <row r="660" spans="6:6" ht="12.45" x14ac:dyDescent="0.3">
      <c r="F660" s="34"/>
    </row>
    <row r="661" spans="6:6" ht="12.45" x14ac:dyDescent="0.3">
      <c r="F661" s="34"/>
    </row>
    <row r="662" spans="6:6" ht="12.45" x14ac:dyDescent="0.3">
      <c r="F662" s="34"/>
    </row>
    <row r="663" spans="6:6" ht="12.45" x14ac:dyDescent="0.3">
      <c r="F663" s="34"/>
    </row>
    <row r="664" spans="6:6" ht="12.45" x14ac:dyDescent="0.3">
      <c r="F664" s="34"/>
    </row>
    <row r="665" spans="6:6" ht="12.45" x14ac:dyDescent="0.3">
      <c r="F665" s="34"/>
    </row>
    <row r="666" spans="6:6" ht="12.45" x14ac:dyDescent="0.3">
      <c r="F666" s="34"/>
    </row>
    <row r="667" spans="6:6" ht="12.45" x14ac:dyDescent="0.3">
      <c r="F667" s="34"/>
    </row>
    <row r="668" spans="6:6" ht="12.45" x14ac:dyDescent="0.3">
      <c r="F668" s="34"/>
    </row>
    <row r="669" spans="6:6" ht="12.45" x14ac:dyDescent="0.3">
      <c r="F669" s="34"/>
    </row>
    <row r="670" spans="6:6" ht="12.45" x14ac:dyDescent="0.3">
      <c r="F670" s="34"/>
    </row>
    <row r="671" spans="6:6" ht="12.45" x14ac:dyDescent="0.3">
      <c r="F671" s="34"/>
    </row>
    <row r="672" spans="6:6" ht="12.45" x14ac:dyDescent="0.3">
      <c r="F672" s="34"/>
    </row>
    <row r="673" spans="6:6" ht="12.45" x14ac:dyDescent="0.3">
      <c r="F673" s="34"/>
    </row>
    <row r="674" spans="6:6" ht="12.45" x14ac:dyDescent="0.3">
      <c r="F674" s="34"/>
    </row>
    <row r="675" spans="6:6" ht="12.45" x14ac:dyDescent="0.3">
      <c r="F675" s="34"/>
    </row>
    <row r="676" spans="6:6" ht="12.45" x14ac:dyDescent="0.3">
      <c r="F676" s="34"/>
    </row>
    <row r="677" spans="6:6" ht="12.45" x14ac:dyDescent="0.3">
      <c r="F677" s="34"/>
    </row>
    <row r="678" spans="6:6" ht="12.45" x14ac:dyDescent="0.3">
      <c r="F678" s="34"/>
    </row>
    <row r="679" spans="6:6" ht="12.45" x14ac:dyDescent="0.3">
      <c r="F679" s="34"/>
    </row>
    <row r="680" spans="6:6" ht="12.45" x14ac:dyDescent="0.3">
      <c r="F680" s="34"/>
    </row>
    <row r="681" spans="6:6" ht="12.45" x14ac:dyDescent="0.3">
      <c r="F681" s="34"/>
    </row>
    <row r="682" spans="6:6" ht="12.45" x14ac:dyDescent="0.3">
      <c r="F682" s="34"/>
    </row>
    <row r="683" spans="6:6" ht="12.45" x14ac:dyDescent="0.3">
      <c r="F683" s="34"/>
    </row>
    <row r="684" spans="6:6" ht="12.45" x14ac:dyDescent="0.3">
      <c r="F684" s="34"/>
    </row>
    <row r="685" spans="6:6" ht="12.45" x14ac:dyDescent="0.3">
      <c r="F685" s="34"/>
    </row>
    <row r="686" spans="6:6" ht="12.45" x14ac:dyDescent="0.3">
      <c r="F686" s="34"/>
    </row>
    <row r="687" spans="6:6" ht="12.45" x14ac:dyDescent="0.3">
      <c r="F687" s="34"/>
    </row>
    <row r="688" spans="6:6" ht="12.45" x14ac:dyDescent="0.3">
      <c r="F688" s="34"/>
    </row>
    <row r="689" spans="6:6" ht="12.45" x14ac:dyDescent="0.3">
      <c r="F689" s="34"/>
    </row>
    <row r="690" spans="6:6" ht="12.45" x14ac:dyDescent="0.3">
      <c r="F690" s="34"/>
    </row>
    <row r="691" spans="6:6" ht="12.45" x14ac:dyDescent="0.3">
      <c r="F691" s="34"/>
    </row>
    <row r="692" spans="6:6" ht="12.45" x14ac:dyDescent="0.3">
      <c r="F692" s="34"/>
    </row>
    <row r="693" spans="6:6" ht="12.45" x14ac:dyDescent="0.3">
      <c r="F693" s="34"/>
    </row>
    <row r="694" spans="6:6" ht="12.45" x14ac:dyDescent="0.3">
      <c r="F694" s="34"/>
    </row>
    <row r="695" spans="6:6" ht="12.45" x14ac:dyDescent="0.3">
      <c r="F695" s="34"/>
    </row>
    <row r="696" spans="6:6" ht="12.45" x14ac:dyDescent="0.3">
      <c r="F696" s="34"/>
    </row>
    <row r="697" spans="6:6" ht="12.45" x14ac:dyDescent="0.3">
      <c r="F697" s="34"/>
    </row>
    <row r="698" spans="6:6" ht="12.45" x14ac:dyDescent="0.3">
      <c r="F698" s="34"/>
    </row>
    <row r="699" spans="6:6" ht="12.45" x14ac:dyDescent="0.3">
      <c r="F699" s="34"/>
    </row>
    <row r="700" spans="6:6" ht="12.45" x14ac:dyDescent="0.3">
      <c r="F700" s="34"/>
    </row>
    <row r="701" spans="6:6" ht="12.45" x14ac:dyDescent="0.3">
      <c r="F701" s="34"/>
    </row>
    <row r="702" spans="6:6" ht="12.45" x14ac:dyDescent="0.3">
      <c r="F702" s="34"/>
    </row>
    <row r="703" spans="6:6" ht="12.45" x14ac:dyDescent="0.3">
      <c r="F703" s="34"/>
    </row>
    <row r="704" spans="6:6" ht="12.45" x14ac:dyDescent="0.3">
      <c r="F704" s="34"/>
    </row>
    <row r="705" spans="6:6" ht="12.45" x14ac:dyDescent="0.3">
      <c r="F705" s="34"/>
    </row>
    <row r="706" spans="6:6" ht="12.45" x14ac:dyDescent="0.3">
      <c r="F706" s="34"/>
    </row>
    <row r="707" spans="6:6" ht="12.45" x14ac:dyDescent="0.3">
      <c r="F707" s="34"/>
    </row>
    <row r="708" spans="6:6" ht="12.45" x14ac:dyDescent="0.3">
      <c r="F708" s="34"/>
    </row>
    <row r="709" spans="6:6" ht="12.45" x14ac:dyDescent="0.3">
      <c r="F709" s="34"/>
    </row>
    <row r="710" spans="6:6" ht="12.45" x14ac:dyDescent="0.3">
      <c r="F710" s="34"/>
    </row>
    <row r="711" spans="6:6" ht="12.45" x14ac:dyDescent="0.3">
      <c r="F711" s="34"/>
    </row>
    <row r="712" spans="6:6" ht="12.45" x14ac:dyDescent="0.3">
      <c r="F712" s="34"/>
    </row>
    <row r="713" spans="6:6" ht="12.45" x14ac:dyDescent="0.3">
      <c r="F713" s="34"/>
    </row>
    <row r="714" spans="6:6" ht="12.45" x14ac:dyDescent="0.3">
      <c r="F714" s="34"/>
    </row>
    <row r="715" spans="6:6" ht="12.45" x14ac:dyDescent="0.3">
      <c r="F715" s="34"/>
    </row>
    <row r="716" spans="6:6" ht="12.45" x14ac:dyDescent="0.3">
      <c r="F716" s="34"/>
    </row>
    <row r="717" spans="6:6" ht="12.45" x14ac:dyDescent="0.3">
      <c r="F717" s="34"/>
    </row>
    <row r="718" spans="6:6" ht="12.45" x14ac:dyDescent="0.3">
      <c r="F718" s="34"/>
    </row>
    <row r="719" spans="6:6" ht="12.45" x14ac:dyDescent="0.3">
      <c r="F719" s="34"/>
    </row>
    <row r="720" spans="6:6" ht="12.45" x14ac:dyDescent="0.3">
      <c r="F720" s="34"/>
    </row>
    <row r="721" spans="6:6" ht="12.45" x14ac:dyDescent="0.3">
      <c r="F721" s="34"/>
    </row>
    <row r="722" spans="6:6" ht="12.45" x14ac:dyDescent="0.3">
      <c r="F722" s="34"/>
    </row>
    <row r="723" spans="6:6" ht="12.45" x14ac:dyDescent="0.3">
      <c r="F723" s="34"/>
    </row>
    <row r="724" spans="6:6" ht="12.45" x14ac:dyDescent="0.3">
      <c r="F724" s="34"/>
    </row>
    <row r="725" spans="6:6" ht="12.45" x14ac:dyDescent="0.3">
      <c r="F725" s="34"/>
    </row>
    <row r="726" spans="6:6" ht="12.45" x14ac:dyDescent="0.3">
      <c r="F726" s="34"/>
    </row>
    <row r="727" spans="6:6" ht="12.45" x14ac:dyDescent="0.3">
      <c r="F727" s="34"/>
    </row>
    <row r="728" spans="6:6" ht="12.45" x14ac:dyDescent="0.3">
      <c r="F728" s="34"/>
    </row>
    <row r="729" spans="6:6" ht="12.45" x14ac:dyDescent="0.3">
      <c r="F729" s="34"/>
    </row>
    <row r="730" spans="6:6" ht="12.45" x14ac:dyDescent="0.3">
      <c r="F730" s="34"/>
    </row>
    <row r="731" spans="6:6" ht="12.45" x14ac:dyDescent="0.3">
      <c r="F731" s="34"/>
    </row>
    <row r="732" spans="6:6" ht="12.45" x14ac:dyDescent="0.3">
      <c r="F732" s="34"/>
    </row>
    <row r="733" spans="6:6" ht="12.45" x14ac:dyDescent="0.3">
      <c r="F733" s="34"/>
    </row>
    <row r="734" spans="6:6" ht="12.45" x14ac:dyDescent="0.3">
      <c r="F734" s="34"/>
    </row>
    <row r="735" spans="6:6" ht="12.45" x14ac:dyDescent="0.3">
      <c r="F735" s="34"/>
    </row>
    <row r="736" spans="6:6" ht="12.45" x14ac:dyDescent="0.3">
      <c r="F736" s="34"/>
    </row>
    <row r="737" spans="6:6" ht="12.45" x14ac:dyDescent="0.3">
      <c r="F737" s="34"/>
    </row>
    <row r="738" spans="6:6" ht="12.45" x14ac:dyDescent="0.3">
      <c r="F738" s="34"/>
    </row>
    <row r="739" spans="6:6" ht="12.45" x14ac:dyDescent="0.3">
      <c r="F739" s="34"/>
    </row>
    <row r="740" spans="6:6" ht="12.45" x14ac:dyDescent="0.3">
      <c r="F740" s="34"/>
    </row>
    <row r="741" spans="6:6" ht="12.45" x14ac:dyDescent="0.3">
      <c r="F741" s="34"/>
    </row>
    <row r="742" spans="6:6" ht="12.45" x14ac:dyDescent="0.3">
      <c r="F742" s="34"/>
    </row>
    <row r="743" spans="6:6" ht="12.45" x14ac:dyDescent="0.3">
      <c r="F743" s="34"/>
    </row>
    <row r="744" spans="6:6" ht="12.45" x14ac:dyDescent="0.3">
      <c r="F744" s="34"/>
    </row>
    <row r="745" spans="6:6" ht="12.45" x14ac:dyDescent="0.3">
      <c r="F745" s="34"/>
    </row>
    <row r="746" spans="6:6" ht="12.45" x14ac:dyDescent="0.3">
      <c r="F746" s="34"/>
    </row>
    <row r="747" spans="6:6" ht="12.45" x14ac:dyDescent="0.3">
      <c r="F747" s="34"/>
    </row>
    <row r="748" spans="6:6" ht="12.45" x14ac:dyDescent="0.3">
      <c r="F748" s="34"/>
    </row>
    <row r="749" spans="6:6" ht="12.45" x14ac:dyDescent="0.3">
      <c r="F749" s="34"/>
    </row>
    <row r="750" spans="6:6" ht="12.45" x14ac:dyDescent="0.3">
      <c r="F750" s="34"/>
    </row>
    <row r="751" spans="6:6" ht="12.45" x14ac:dyDescent="0.3">
      <c r="F751" s="34"/>
    </row>
    <row r="752" spans="6:6" ht="12.45" x14ac:dyDescent="0.3">
      <c r="F752" s="34"/>
    </row>
    <row r="753" spans="6:6" ht="12.45" x14ac:dyDescent="0.3">
      <c r="F753" s="34"/>
    </row>
    <row r="754" spans="6:6" ht="12.45" x14ac:dyDescent="0.3">
      <c r="F754" s="34"/>
    </row>
    <row r="755" spans="6:6" ht="12.45" x14ac:dyDescent="0.3">
      <c r="F755" s="34"/>
    </row>
    <row r="756" spans="6:6" ht="12.45" x14ac:dyDescent="0.3">
      <c r="F756" s="34"/>
    </row>
    <row r="757" spans="6:6" ht="12.45" x14ac:dyDescent="0.3">
      <c r="F757" s="34"/>
    </row>
    <row r="758" spans="6:6" ht="12.45" x14ac:dyDescent="0.3">
      <c r="F758" s="34"/>
    </row>
    <row r="759" spans="6:6" ht="12.45" x14ac:dyDescent="0.3">
      <c r="F759" s="34"/>
    </row>
    <row r="760" spans="6:6" ht="12.45" x14ac:dyDescent="0.3">
      <c r="F760" s="34"/>
    </row>
    <row r="761" spans="6:6" ht="12.45" x14ac:dyDescent="0.3">
      <c r="F761" s="34"/>
    </row>
    <row r="762" spans="6:6" ht="12.45" x14ac:dyDescent="0.3">
      <c r="F762" s="34"/>
    </row>
    <row r="763" spans="6:6" ht="12.45" x14ac:dyDescent="0.3">
      <c r="F763" s="34"/>
    </row>
    <row r="764" spans="6:6" ht="12.45" x14ac:dyDescent="0.3">
      <c r="F764" s="34"/>
    </row>
    <row r="765" spans="6:6" ht="12.45" x14ac:dyDescent="0.3">
      <c r="F765" s="34"/>
    </row>
    <row r="766" spans="6:6" ht="12.45" x14ac:dyDescent="0.3">
      <c r="F766" s="34"/>
    </row>
    <row r="767" spans="6:6" ht="12.45" x14ac:dyDescent="0.3">
      <c r="F767" s="34"/>
    </row>
    <row r="768" spans="6:6" ht="12.45" x14ac:dyDescent="0.3">
      <c r="F768" s="34"/>
    </row>
    <row r="769" spans="6:6" ht="12.45" x14ac:dyDescent="0.3">
      <c r="F769" s="34"/>
    </row>
    <row r="770" spans="6:6" ht="12.45" x14ac:dyDescent="0.3">
      <c r="F770" s="34"/>
    </row>
    <row r="771" spans="6:6" ht="12.45" x14ac:dyDescent="0.3">
      <c r="F771" s="34"/>
    </row>
    <row r="772" spans="6:6" ht="12.45" x14ac:dyDescent="0.3">
      <c r="F772" s="34"/>
    </row>
    <row r="773" spans="6:6" ht="12.45" x14ac:dyDescent="0.3">
      <c r="F773" s="34"/>
    </row>
    <row r="774" spans="6:6" ht="12.45" x14ac:dyDescent="0.3">
      <c r="F774" s="34"/>
    </row>
    <row r="775" spans="6:6" ht="12.45" x14ac:dyDescent="0.3">
      <c r="F775" s="34"/>
    </row>
    <row r="776" spans="6:6" ht="12.45" x14ac:dyDescent="0.3">
      <c r="F776" s="34"/>
    </row>
    <row r="777" spans="6:6" ht="12.45" x14ac:dyDescent="0.3">
      <c r="F777" s="34"/>
    </row>
    <row r="778" spans="6:6" ht="12.45" x14ac:dyDescent="0.3">
      <c r="F778" s="34"/>
    </row>
    <row r="779" spans="6:6" ht="12.45" x14ac:dyDescent="0.3">
      <c r="F779" s="34"/>
    </row>
    <row r="780" spans="6:6" ht="12.45" x14ac:dyDescent="0.3">
      <c r="F780" s="34"/>
    </row>
    <row r="781" spans="6:6" ht="12.45" x14ac:dyDescent="0.3">
      <c r="F781" s="34"/>
    </row>
    <row r="782" spans="6:6" ht="12.45" x14ac:dyDescent="0.3">
      <c r="F782" s="34"/>
    </row>
    <row r="783" spans="6:6" ht="12.45" x14ac:dyDescent="0.3">
      <c r="F783" s="34"/>
    </row>
    <row r="784" spans="6:6" ht="12.45" x14ac:dyDescent="0.3">
      <c r="F784" s="34"/>
    </row>
    <row r="785" spans="6:6" ht="12.45" x14ac:dyDescent="0.3">
      <c r="F785" s="34"/>
    </row>
    <row r="786" spans="6:6" ht="12.45" x14ac:dyDescent="0.3">
      <c r="F786" s="34"/>
    </row>
    <row r="787" spans="6:6" ht="12.45" x14ac:dyDescent="0.3">
      <c r="F787" s="34"/>
    </row>
    <row r="788" spans="6:6" ht="12.45" x14ac:dyDescent="0.3">
      <c r="F788" s="34"/>
    </row>
    <row r="789" spans="6:6" ht="12.45" x14ac:dyDescent="0.3">
      <c r="F789" s="34"/>
    </row>
    <row r="790" spans="6:6" ht="12.45" x14ac:dyDescent="0.3">
      <c r="F790" s="34"/>
    </row>
    <row r="791" spans="6:6" ht="12.45" x14ac:dyDescent="0.3">
      <c r="F791" s="34"/>
    </row>
    <row r="792" spans="6:6" ht="12.45" x14ac:dyDescent="0.3">
      <c r="F792" s="34"/>
    </row>
    <row r="793" spans="6:6" ht="12.45" x14ac:dyDescent="0.3">
      <c r="F793" s="34"/>
    </row>
    <row r="794" spans="6:6" ht="12.45" x14ac:dyDescent="0.3">
      <c r="F794" s="34"/>
    </row>
    <row r="795" spans="6:6" ht="12.45" x14ac:dyDescent="0.3">
      <c r="F795" s="34"/>
    </row>
    <row r="796" spans="6:6" ht="12.45" x14ac:dyDescent="0.3">
      <c r="F796" s="34"/>
    </row>
    <row r="797" spans="6:6" ht="12.45" x14ac:dyDescent="0.3">
      <c r="F797" s="34"/>
    </row>
    <row r="798" spans="6:6" ht="12.45" x14ac:dyDescent="0.3">
      <c r="F798" s="34"/>
    </row>
    <row r="799" spans="6:6" ht="12.45" x14ac:dyDescent="0.3">
      <c r="F799" s="34"/>
    </row>
    <row r="800" spans="6:6" ht="12.45" x14ac:dyDescent="0.3">
      <c r="F800" s="34"/>
    </row>
    <row r="801" spans="6:6" ht="12.45" x14ac:dyDescent="0.3">
      <c r="F801" s="34"/>
    </row>
    <row r="802" spans="6:6" ht="12.45" x14ac:dyDescent="0.3">
      <c r="F802" s="34"/>
    </row>
    <row r="803" spans="6:6" ht="12.45" x14ac:dyDescent="0.3">
      <c r="F803" s="34"/>
    </row>
    <row r="804" spans="6:6" ht="12.45" x14ac:dyDescent="0.3">
      <c r="F804" s="34"/>
    </row>
    <row r="805" spans="6:6" ht="12.45" x14ac:dyDescent="0.3">
      <c r="F805" s="34"/>
    </row>
    <row r="806" spans="6:6" ht="12.45" x14ac:dyDescent="0.3">
      <c r="F806" s="34"/>
    </row>
    <row r="807" spans="6:6" ht="12.45" x14ac:dyDescent="0.3">
      <c r="F807" s="34"/>
    </row>
    <row r="808" spans="6:6" ht="12.45" x14ac:dyDescent="0.3">
      <c r="F808" s="34"/>
    </row>
    <row r="809" spans="6:6" ht="12.45" x14ac:dyDescent="0.3">
      <c r="F809" s="34"/>
    </row>
    <row r="810" spans="6:6" ht="12.45" x14ac:dyDescent="0.3">
      <c r="F810" s="34"/>
    </row>
    <row r="811" spans="6:6" ht="12.45" x14ac:dyDescent="0.3">
      <c r="F811" s="34"/>
    </row>
    <row r="812" spans="6:6" ht="12.45" x14ac:dyDescent="0.3">
      <c r="F812" s="34"/>
    </row>
    <row r="813" spans="6:6" ht="12.45" x14ac:dyDescent="0.3">
      <c r="F813" s="34"/>
    </row>
    <row r="814" spans="6:6" ht="12.45" x14ac:dyDescent="0.3">
      <c r="F814" s="34"/>
    </row>
    <row r="815" spans="6:6" ht="12.45" x14ac:dyDescent="0.3">
      <c r="F815" s="34"/>
    </row>
    <row r="816" spans="6:6" ht="12.45" x14ac:dyDescent="0.3">
      <c r="F816" s="34"/>
    </row>
    <row r="817" spans="6:6" ht="12.45" x14ac:dyDescent="0.3">
      <c r="F817" s="34"/>
    </row>
    <row r="818" spans="6:6" ht="12.45" x14ac:dyDescent="0.3">
      <c r="F818" s="34"/>
    </row>
    <row r="819" spans="6:6" ht="12.45" x14ac:dyDescent="0.3">
      <c r="F819" s="34"/>
    </row>
    <row r="820" spans="6:6" ht="12.45" x14ac:dyDescent="0.3">
      <c r="F820" s="34"/>
    </row>
    <row r="821" spans="6:6" ht="12.45" x14ac:dyDescent="0.3">
      <c r="F821" s="34"/>
    </row>
    <row r="822" spans="6:6" ht="12.45" x14ac:dyDescent="0.3">
      <c r="F822" s="34"/>
    </row>
    <row r="823" spans="6:6" ht="12.45" x14ac:dyDescent="0.3">
      <c r="F823" s="34"/>
    </row>
    <row r="824" spans="6:6" ht="12.45" x14ac:dyDescent="0.3">
      <c r="F824" s="34"/>
    </row>
    <row r="825" spans="6:6" ht="12.45" x14ac:dyDescent="0.3">
      <c r="F825" s="34"/>
    </row>
    <row r="826" spans="6:6" ht="12.45" x14ac:dyDescent="0.3">
      <c r="F826" s="34"/>
    </row>
    <row r="827" spans="6:6" ht="12.45" x14ac:dyDescent="0.3">
      <c r="F827" s="34"/>
    </row>
    <row r="828" spans="6:6" ht="12.45" x14ac:dyDescent="0.3">
      <c r="F828" s="34"/>
    </row>
    <row r="829" spans="6:6" ht="12.45" x14ac:dyDescent="0.3">
      <c r="F829" s="34"/>
    </row>
    <row r="830" spans="6:6" ht="12.45" x14ac:dyDescent="0.3">
      <c r="F830" s="34"/>
    </row>
    <row r="831" spans="6:6" ht="12.45" x14ac:dyDescent="0.3">
      <c r="F831" s="34"/>
    </row>
    <row r="832" spans="6:6" ht="12.45" x14ac:dyDescent="0.3">
      <c r="F832" s="34"/>
    </row>
    <row r="833" spans="6:6" ht="12.45" x14ac:dyDescent="0.3">
      <c r="F833" s="34"/>
    </row>
    <row r="834" spans="6:6" ht="12.45" x14ac:dyDescent="0.3">
      <c r="F834" s="34"/>
    </row>
    <row r="835" spans="6:6" ht="12.45" x14ac:dyDescent="0.3">
      <c r="F835" s="34"/>
    </row>
    <row r="836" spans="6:6" ht="12.45" x14ac:dyDescent="0.3">
      <c r="F836" s="34"/>
    </row>
    <row r="837" spans="6:6" ht="12.45" x14ac:dyDescent="0.3">
      <c r="F837" s="34"/>
    </row>
    <row r="838" spans="6:6" ht="12.45" x14ac:dyDescent="0.3">
      <c r="F838" s="34"/>
    </row>
    <row r="839" spans="6:6" ht="12.45" x14ac:dyDescent="0.3">
      <c r="F839" s="34"/>
    </row>
    <row r="840" spans="6:6" ht="12.45" x14ac:dyDescent="0.3">
      <c r="F840" s="34"/>
    </row>
    <row r="841" spans="6:6" ht="12.45" x14ac:dyDescent="0.3">
      <c r="F841" s="34"/>
    </row>
    <row r="842" spans="6:6" ht="12.45" x14ac:dyDescent="0.3">
      <c r="F842" s="34"/>
    </row>
    <row r="843" spans="6:6" ht="12.45" x14ac:dyDescent="0.3">
      <c r="F843" s="34"/>
    </row>
    <row r="844" spans="6:6" ht="12.45" x14ac:dyDescent="0.3">
      <c r="F844" s="34"/>
    </row>
    <row r="845" spans="6:6" ht="12.45" x14ac:dyDescent="0.3">
      <c r="F845" s="34"/>
    </row>
    <row r="846" spans="6:6" ht="12.45" x14ac:dyDescent="0.3">
      <c r="F846" s="34"/>
    </row>
    <row r="847" spans="6:6" ht="12.45" x14ac:dyDescent="0.3">
      <c r="F847" s="34"/>
    </row>
    <row r="848" spans="6:6" ht="12.45" x14ac:dyDescent="0.3">
      <c r="F848" s="34"/>
    </row>
    <row r="849" spans="6:6" ht="12.45" x14ac:dyDescent="0.3">
      <c r="F849" s="34"/>
    </row>
    <row r="850" spans="6:6" ht="12.45" x14ac:dyDescent="0.3">
      <c r="F850" s="34"/>
    </row>
    <row r="851" spans="6:6" ht="12.45" x14ac:dyDescent="0.3">
      <c r="F851" s="34"/>
    </row>
    <row r="852" spans="6:6" ht="12.45" x14ac:dyDescent="0.3">
      <c r="F852" s="34"/>
    </row>
    <row r="853" spans="6:6" ht="12.45" x14ac:dyDescent="0.3">
      <c r="F853" s="34"/>
    </row>
    <row r="854" spans="6:6" ht="12.45" x14ac:dyDescent="0.3">
      <c r="F854" s="34"/>
    </row>
    <row r="855" spans="6:6" ht="12.45" x14ac:dyDescent="0.3">
      <c r="F855" s="34"/>
    </row>
    <row r="856" spans="6:6" ht="12.45" x14ac:dyDescent="0.3">
      <c r="F856" s="34"/>
    </row>
    <row r="857" spans="6:6" ht="12.45" x14ac:dyDescent="0.3">
      <c r="F857" s="34"/>
    </row>
    <row r="858" spans="6:6" ht="12.45" x14ac:dyDescent="0.3">
      <c r="F858" s="34"/>
    </row>
    <row r="859" spans="6:6" ht="12.45" x14ac:dyDescent="0.3">
      <c r="F859" s="34"/>
    </row>
    <row r="860" spans="6:6" ht="12.45" x14ac:dyDescent="0.3">
      <c r="F860" s="34"/>
    </row>
    <row r="861" spans="6:6" ht="12.45" x14ac:dyDescent="0.3">
      <c r="F861" s="34"/>
    </row>
    <row r="862" spans="6:6" ht="12.45" x14ac:dyDescent="0.3">
      <c r="F862" s="34"/>
    </row>
    <row r="863" spans="6:6" ht="12.45" x14ac:dyDescent="0.3">
      <c r="F863" s="34"/>
    </row>
    <row r="864" spans="6:6" ht="12.45" x14ac:dyDescent="0.3">
      <c r="F864" s="34"/>
    </row>
    <row r="865" spans="6:6" ht="12.45" x14ac:dyDescent="0.3">
      <c r="F865" s="34"/>
    </row>
    <row r="866" spans="6:6" ht="12.45" x14ac:dyDescent="0.3">
      <c r="F866" s="34"/>
    </row>
    <row r="867" spans="6:6" ht="12.45" x14ac:dyDescent="0.3">
      <c r="F867" s="34"/>
    </row>
    <row r="868" spans="6:6" ht="12.45" x14ac:dyDescent="0.3">
      <c r="F868" s="34"/>
    </row>
    <row r="869" spans="6:6" ht="12.45" x14ac:dyDescent="0.3">
      <c r="F869" s="34"/>
    </row>
    <row r="870" spans="6:6" ht="12.45" x14ac:dyDescent="0.3">
      <c r="F870" s="34"/>
    </row>
    <row r="871" spans="6:6" ht="12.45" x14ac:dyDescent="0.3">
      <c r="F871" s="34"/>
    </row>
    <row r="872" spans="6:6" ht="12.45" x14ac:dyDescent="0.3">
      <c r="F872" s="34"/>
    </row>
    <row r="873" spans="6:6" ht="12.45" x14ac:dyDescent="0.3">
      <c r="F873" s="34"/>
    </row>
    <row r="874" spans="6:6" ht="12.45" x14ac:dyDescent="0.3">
      <c r="F874" s="34"/>
    </row>
    <row r="875" spans="6:6" ht="12.45" x14ac:dyDescent="0.3">
      <c r="F875" s="34"/>
    </row>
    <row r="876" spans="6:6" ht="12.45" x14ac:dyDescent="0.3">
      <c r="F876" s="34"/>
    </row>
    <row r="877" spans="6:6" ht="12.45" x14ac:dyDescent="0.3">
      <c r="F877" s="34"/>
    </row>
    <row r="878" spans="6:6" ht="12.45" x14ac:dyDescent="0.3">
      <c r="F878" s="34"/>
    </row>
    <row r="879" spans="6:6" ht="12.45" x14ac:dyDescent="0.3">
      <c r="F879" s="34"/>
    </row>
    <row r="880" spans="6:6" ht="12.45" x14ac:dyDescent="0.3">
      <c r="F880" s="34"/>
    </row>
    <row r="881" spans="6:6" ht="12.45" x14ac:dyDescent="0.3">
      <c r="F881" s="34"/>
    </row>
    <row r="882" spans="6:6" ht="12.45" x14ac:dyDescent="0.3">
      <c r="F882" s="34"/>
    </row>
    <row r="883" spans="6:6" ht="12.45" x14ac:dyDescent="0.3">
      <c r="F883" s="34"/>
    </row>
    <row r="884" spans="6:6" ht="12.45" x14ac:dyDescent="0.3">
      <c r="F884" s="34"/>
    </row>
    <row r="885" spans="6:6" ht="12.45" x14ac:dyDescent="0.3">
      <c r="F885" s="34"/>
    </row>
    <row r="886" spans="6:6" ht="12.45" x14ac:dyDescent="0.3">
      <c r="F886" s="34"/>
    </row>
    <row r="887" spans="6:6" ht="12.45" x14ac:dyDescent="0.3">
      <c r="F887" s="34"/>
    </row>
    <row r="888" spans="6:6" ht="12.45" x14ac:dyDescent="0.3">
      <c r="F888" s="34"/>
    </row>
    <row r="889" spans="6:6" ht="12.45" x14ac:dyDescent="0.3">
      <c r="F889" s="34"/>
    </row>
    <row r="890" spans="6:6" ht="12.45" x14ac:dyDescent="0.3">
      <c r="F890" s="34"/>
    </row>
    <row r="891" spans="6:6" ht="12.45" x14ac:dyDescent="0.3">
      <c r="F891" s="34"/>
    </row>
    <row r="892" spans="6:6" ht="12.45" x14ac:dyDescent="0.3">
      <c r="F892" s="34"/>
    </row>
    <row r="893" spans="6:6" ht="12.45" x14ac:dyDescent="0.3">
      <c r="F893" s="34"/>
    </row>
    <row r="894" spans="6:6" ht="12.45" x14ac:dyDescent="0.3">
      <c r="F894" s="34"/>
    </row>
    <row r="895" spans="6:6" ht="12.45" x14ac:dyDescent="0.3">
      <c r="F895" s="34"/>
    </row>
    <row r="896" spans="6:6" ht="12.45" x14ac:dyDescent="0.3">
      <c r="F896" s="34"/>
    </row>
    <row r="897" spans="6:6" ht="12.45" x14ac:dyDescent="0.3">
      <c r="F897" s="34"/>
    </row>
    <row r="898" spans="6:6" ht="12.45" x14ac:dyDescent="0.3">
      <c r="F898" s="34"/>
    </row>
    <row r="899" spans="6:6" ht="12.45" x14ac:dyDescent="0.3">
      <c r="F899" s="34"/>
    </row>
    <row r="900" spans="6:6" ht="12.45" x14ac:dyDescent="0.3">
      <c r="F900" s="34"/>
    </row>
    <row r="901" spans="6:6" ht="12.45" x14ac:dyDescent="0.3">
      <c r="F901" s="34"/>
    </row>
    <row r="902" spans="6:6" ht="12.45" x14ac:dyDescent="0.3">
      <c r="F902" s="34"/>
    </row>
    <row r="903" spans="6:6" ht="12.45" x14ac:dyDescent="0.3">
      <c r="F903" s="34"/>
    </row>
    <row r="904" spans="6:6" ht="12.45" x14ac:dyDescent="0.3">
      <c r="F904" s="34"/>
    </row>
    <row r="905" spans="6:6" ht="12.45" x14ac:dyDescent="0.3">
      <c r="F905" s="34"/>
    </row>
    <row r="906" spans="6:6" ht="12.45" x14ac:dyDescent="0.3">
      <c r="F906" s="34"/>
    </row>
    <row r="907" spans="6:6" ht="12.45" x14ac:dyDescent="0.3">
      <c r="F907" s="34"/>
    </row>
    <row r="908" spans="6:6" ht="12.45" x14ac:dyDescent="0.3">
      <c r="F908" s="34"/>
    </row>
    <row r="909" spans="6:6" ht="12.45" x14ac:dyDescent="0.3">
      <c r="F909" s="34"/>
    </row>
    <row r="910" spans="6:6" ht="12.45" x14ac:dyDescent="0.3">
      <c r="F910" s="34"/>
    </row>
    <row r="911" spans="6:6" ht="12.45" x14ac:dyDescent="0.3">
      <c r="F911" s="34"/>
    </row>
    <row r="912" spans="6:6" ht="12.45" x14ac:dyDescent="0.3">
      <c r="F912" s="34"/>
    </row>
    <row r="913" spans="6:6" ht="12.45" x14ac:dyDescent="0.3">
      <c r="F913" s="34"/>
    </row>
    <row r="914" spans="6:6" ht="12.45" x14ac:dyDescent="0.3">
      <c r="F914" s="34"/>
    </row>
    <row r="915" spans="6:6" ht="12.45" x14ac:dyDescent="0.3">
      <c r="F915" s="34"/>
    </row>
    <row r="916" spans="6:6" ht="12.45" x14ac:dyDescent="0.3">
      <c r="F916" s="34"/>
    </row>
    <row r="917" spans="6:6" ht="12.45" x14ac:dyDescent="0.3">
      <c r="F917" s="34"/>
    </row>
    <row r="918" spans="6:6" ht="12.45" x14ac:dyDescent="0.3">
      <c r="F918" s="34"/>
    </row>
    <row r="919" spans="6:6" ht="12.45" x14ac:dyDescent="0.3">
      <c r="F919" s="34"/>
    </row>
    <row r="920" spans="6:6" ht="12.45" x14ac:dyDescent="0.3">
      <c r="F920" s="34"/>
    </row>
    <row r="921" spans="6:6" ht="12.45" x14ac:dyDescent="0.3">
      <c r="F921" s="34"/>
    </row>
    <row r="922" spans="6:6" ht="12.45" x14ac:dyDescent="0.3">
      <c r="F922" s="34"/>
    </row>
    <row r="923" spans="6:6" ht="12.45" x14ac:dyDescent="0.3">
      <c r="F923" s="34"/>
    </row>
    <row r="924" spans="6:6" ht="12.45" x14ac:dyDescent="0.3">
      <c r="F924" s="34"/>
    </row>
    <row r="925" spans="6:6" ht="12.45" x14ac:dyDescent="0.3">
      <c r="F925" s="34"/>
    </row>
    <row r="926" spans="6:6" ht="12.45" x14ac:dyDescent="0.3">
      <c r="F926" s="34"/>
    </row>
    <row r="927" spans="6:6" ht="12.45" x14ac:dyDescent="0.3">
      <c r="F927" s="34"/>
    </row>
    <row r="928" spans="6:6" ht="12.45" x14ac:dyDescent="0.3">
      <c r="F928" s="34"/>
    </row>
    <row r="929" spans="6:6" ht="12.45" x14ac:dyDescent="0.3">
      <c r="F929" s="34"/>
    </row>
    <row r="930" spans="6:6" ht="12.45" x14ac:dyDescent="0.3">
      <c r="F930" s="34"/>
    </row>
    <row r="931" spans="6:6" ht="12.45" x14ac:dyDescent="0.3">
      <c r="F931" s="34"/>
    </row>
    <row r="932" spans="6:6" ht="12.45" x14ac:dyDescent="0.3">
      <c r="F932" s="34"/>
    </row>
    <row r="933" spans="6:6" ht="12.45" x14ac:dyDescent="0.3">
      <c r="F933" s="34"/>
    </row>
    <row r="934" spans="6:6" ht="12.45" x14ac:dyDescent="0.3">
      <c r="F934" s="34"/>
    </row>
    <row r="935" spans="6:6" ht="12.45" x14ac:dyDescent="0.3">
      <c r="F935" s="34"/>
    </row>
    <row r="936" spans="6:6" ht="12.45" x14ac:dyDescent="0.3">
      <c r="F936" s="34"/>
    </row>
    <row r="937" spans="6:6" ht="12.45" x14ac:dyDescent="0.3">
      <c r="F937" s="34"/>
    </row>
    <row r="938" spans="6:6" ht="12.45" x14ac:dyDescent="0.3">
      <c r="F938" s="34"/>
    </row>
    <row r="939" spans="6:6" ht="12.45" x14ac:dyDescent="0.3">
      <c r="F939" s="34"/>
    </row>
    <row r="940" spans="6:6" ht="12.45" x14ac:dyDescent="0.3">
      <c r="F940" s="34"/>
    </row>
    <row r="941" spans="6:6" ht="12.45" x14ac:dyDescent="0.3">
      <c r="F941" s="34"/>
    </row>
    <row r="942" spans="6:6" ht="12.45" x14ac:dyDescent="0.3">
      <c r="F942" s="34"/>
    </row>
    <row r="943" spans="6:6" ht="12.45" x14ac:dyDescent="0.3">
      <c r="F943" s="34"/>
    </row>
    <row r="944" spans="6:6" ht="12.45" x14ac:dyDescent="0.3">
      <c r="F944" s="34"/>
    </row>
    <row r="945" spans="6:6" ht="12.45" x14ac:dyDescent="0.3">
      <c r="F945" s="34"/>
    </row>
    <row r="946" spans="6:6" ht="12.45" x14ac:dyDescent="0.3">
      <c r="F946" s="34"/>
    </row>
    <row r="947" spans="6:6" ht="12.45" x14ac:dyDescent="0.3">
      <c r="F947" s="34"/>
    </row>
    <row r="948" spans="6:6" ht="12.45" x14ac:dyDescent="0.3">
      <c r="F948" s="34"/>
    </row>
    <row r="949" spans="6:6" ht="12.45" x14ac:dyDescent="0.3">
      <c r="F949" s="34"/>
    </row>
    <row r="950" spans="6:6" ht="12.45" x14ac:dyDescent="0.3">
      <c r="F950" s="34"/>
    </row>
    <row r="951" spans="6:6" ht="12.45" x14ac:dyDescent="0.3">
      <c r="F951" s="34"/>
    </row>
    <row r="952" spans="6:6" ht="12.45" x14ac:dyDescent="0.3">
      <c r="F952" s="34"/>
    </row>
    <row r="953" spans="6:6" ht="12.45" x14ac:dyDescent="0.3">
      <c r="F953" s="34"/>
    </row>
    <row r="954" spans="6:6" ht="12.45" x14ac:dyDescent="0.3">
      <c r="F954" s="34"/>
    </row>
    <row r="955" spans="6:6" ht="12.45" x14ac:dyDescent="0.3">
      <c r="F955" s="34"/>
    </row>
    <row r="956" spans="6:6" ht="12.45" x14ac:dyDescent="0.3">
      <c r="F956" s="34"/>
    </row>
    <row r="957" spans="6:6" ht="12.45" x14ac:dyDescent="0.3">
      <c r="F957" s="34"/>
    </row>
    <row r="958" spans="6:6" ht="12.45" x14ac:dyDescent="0.3">
      <c r="F958" s="34"/>
    </row>
    <row r="959" spans="6:6" ht="12.45" x14ac:dyDescent="0.3">
      <c r="F959" s="34"/>
    </row>
    <row r="960" spans="6:6" ht="12.45" x14ac:dyDescent="0.3">
      <c r="F960" s="34"/>
    </row>
    <row r="961" spans="6:6" ht="12.45" x14ac:dyDescent="0.3">
      <c r="F961" s="34"/>
    </row>
    <row r="962" spans="6:6" ht="12.45" x14ac:dyDescent="0.3">
      <c r="F962" s="34"/>
    </row>
    <row r="963" spans="6:6" ht="12.45" x14ac:dyDescent="0.3">
      <c r="F963" s="34"/>
    </row>
    <row r="964" spans="6:6" ht="12.45" x14ac:dyDescent="0.3">
      <c r="F964" s="34"/>
    </row>
    <row r="965" spans="6:6" ht="12.45" x14ac:dyDescent="0.3">
      <c r="F965" s="34"/>
    </row>
    <row r="966" spans="6:6" ht="12.45" x14ac:dyDescent="0.3">
      <c r="F966" s="34"/>
    </row>
    <row r="967" spans="6:6" ht="12.45" x14ac:dyDescent="0.3">
      <c r="F967" s="34"/>
    </row>
    <row r="968" spans="6:6" ht="12.45" x14ac:dyDescent="0.3">
      <c r="F968" s="34"/>
    </row>
    <row r="969" spans="6:6" ht="12.45" x14ac:dyDescent="0.3">
      <c r="F969" s="34"/>
    </row>
    <row r="970" spans="6:6" ht="12.45" x14ac:dyDescent="0.3">
      <c r="F970" s="34"/>
    </row>
    <row r="971" spans="6:6" ht="12.45" x14ac:dyDescent="0.3">
      <c r="F971" s="34"/>
    </row>
    <row r="972" spans="6:6" ht="12.45" x14ac:dyDescent="0.3">
      <c r="F972" s="34"/>
    </row>
    <row r="973" spans="6:6" ht="12.45" x14ac:dyDescent="0.3">
      <c r="F973" s="34"/>
    </row>
    <row r="974" spans="6:6" ht="12.45" x14ac:dyDescent="0.3">
      <c r="F974" s="34"/>
    </row>
    <row r="975" spans="6:6" ht="12.45" x14ac:dyDescent="0.3">
      <c r="F975" s="34"/>
    </row>
    <row r="976" spans="6:6" ht="12.45" x14ac:dyDescent="0.3">
      <c r="F976" s="34"/>
    </row>
    <row r="977" spans="6:6" ht="12.45" x14ac:dyDescent="0.3">
      <c r="F977" s="34"/>
    </row>
    <row r="978" spans="6:6" ht="12.45" x14ac:dyDescent="0.3">
      <c r="F978" s="34"/>
    </row>
    <row r="979" spans="6:6" ht="12.45" x14ac:dyDescent="0.3">
      <c r="F979" s="34"/>
    </row>
    <row r="980" spans="6:6" ht="12.45" x14ac:dyDescent="0.3">
      <c r="F980" s="34"/>
    </row>
    <row r="981" spans="6:6" ht="12.45" x14ac:dyDescent="0.3">
      <c r="F981" s="34"/>
    </row>
    <row r="982" spans="6:6" ht="12.45" x14ac:dyDescent="0.3">
      <c r="F982" s="34"/>
    </row>
    <row r="983" spans="6:6" ht="12.45" x14ac:dyDescent="0.3">
      <c r="F983" s="34"/>
    </row>
    <row r="984" spans="6:6" ht="12.45" x14ac:dyDescent="0.3">
      <c r="F984" s="34"/>
    </row>
    <row r="985" spans="6:6" ht="12.45" x14ac:dyDescent="0.3">
      <c r="F985" s="34"/>
    </row>
    <row r="986" spans="6:6" ht="12.45" x14ac:dyDescent="0.3">
      <c r="F986" s="34"/>
    </row>
    <row r="987" spans="6:6" ht="12.45" x14ac:dyDescent="0.3">
      <c r="F987" s="34"/>
    </row>
    <row r="988" spans="6:6" ht="12.45" x14ac:dyDescent="0.3">
      <c r="F98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DividendAristocratsUS</vt:lpstr>
      <vt:lpstr>Rdt</vt:lpstr>
      <vt:lpstr>A Savoir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Bertrand</cp:lastModifiedBy>
  <dcterms:modified xsi:type="dcterms:W3CDTF">2021-07-08T15:20:44Z</dcterms:modified>
</cp:coreProperties>
</file>